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C:\Users\eric.straw\Google Drive\Finances\Retirement Game\"/>
    </mc:Choice>
  </mc:AlternateContent>
  <xr:revisionPtr revIDLastSave="0" documentId="13_ncr:1_{BAC6700A-31D0-4240-BE47-DE030719EF8B}" xr6:coauthVersionLast="47" xr6:coauthVersionMax="47" xr10:uidLastSave="{00000000-0000-0000-0000-000000000000}"/>
  <bookViews>
    <workbookView xWindow="28680" yWindow="-120" windowWidth="38640" windowHeight="15840" xr2:uid="{F5D16AE7-797B-47FE-B76B-AA9D78FE24A8}"/>
  </bookViews>
  <sheets>
    <sheet name="Instructions" sheetId="12" r:id="rId1"/>
    <sheet name="Setup" sheetId="2" r:id="rId2"/>
    <sheet name="Projections" sheetId="1" r:id="rId3"/>
    <sheet name="Lookups" sheetId="4" r:id="rId4"/>
    <sheet name="License" sheetId="10" state="hidden" r:id="rId5"/>
    <sheet name="None" sheetId="8" state="hidden" r:id="rId6"/>
    <sheet name="Kentucky" sheetId="9" state="hidden" r:id="rId7"/>
    <sheet name="Oregon" sheetId="5" state="hidden" r:id="rId8"/>
  </sheets>
  <externalReferences>
    <externalReference r:id="rId9"/>
  </externalReferences>
  <definedNames>
    <definedName name="StandardDeduction">'[1]Tax Rate'!$B$66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1" i="2" l="1"/>
  <c r="J91" i="2"/>
  <c r="K91" i="2" a="1"/>
  <c r="K91" i="2" s="1"/>
  <c r="L90" i="2"/>
  <c r="J90" i="2"/>
  <c r="J116" i="2"/>
  <c r="J115" i="2"/>
  <c r="J113" i="2"/>
  <c r="J112" i="2"/>
  <c r="J110" i="2"/>
  <c r="J107" i="2"/>
  <c r="J106" i="2"/>
  <c r="J109" i="2"/>
  <c r="J89" i="2"/>
  <c r="B6" i="2"/>
  <c r="J6" i="2"/>
  <c r="H6" i="2"/>
  <c r="H4" i="2"/>
  <c r="H9" i="2"/>
  <c r="H8" i="2"/>
  <c r="E9" i="2"/>
  <c r="B9" i="2"/>
  <c r="B7" i="2"/>
  <c r="K90" i="2"/>
  <c r="B115" i="2"/>
  <c r="B112" i="2"/>
  <c r="B109" i="2"/>
  <c r="B116" i="2"/>
  <c r="B113" i="2"/>
  <c r="B110" i="2"/>
  <c r="B107" i="2"/>
  <c r="B106" i="2"/>
  <c r="B103" i="2"/>
  <c r="B102" i="2"/>
  <c r="B89" i="2"/>
  <c r="B75" i="2"/>
  <c r="B71" i="2"/>
  <c r="B67" i="2"/>
  <c r="B63" i="2"/>
  <c r="B74" i="2"/>
  <c r="B70" i="2"/>
  <c r="B66" i="2"/>
  <c r="B62" i="2"/>
  <c r="B73" i="2"/>
  <c r="B69" i="2"/>
  <c r="B65" i="2"/>
  <c r="B61" i="2"/>
  <c r="B41" i="2"/>
  <c r="B38" i="2"/>
  <c r="B42" i="2"/>
  <c r="B39" i="2"/>
  <c r="B36" i="2"/>
  <c r="B35" i="2"/>
  <c r="B33" i="2"/>
  <c r="B32" i="2"/>
  <c r="E42" i="2"/>
  <c r="E41" i="2"/>
  <c r="E39" i="2"/>
  <c r="E38" i="2"/>
  <c r="E36" i="2"/>
  <c r="E35" i="2"/>
  <c r="E33" i="2"/>
  <c r="E32" i="2"/>
  <c r="E90" i="2"/>
  <c r="E91" i="2"/>
  <c r="I9" i="2"/>
  <c r="I8" i="2" a="1"/>
  <c r="I8" i="2" s="1"/>
  <c r="A2" i="1"/>
  <c r="AE7" i="1" l="1"/>
  <c r="AC7" i="1"/>
  <c r="D7" i="1"/>
  <c r="B2" i="1" l="1"/>
  <c r="BE6" i="1"/>
  <c r="BE5" i="1"/>
  <c r="AZ5" i="1"/>
  <c r="AZ6" i="1"/>
  <c r="DH2" i="1" l="1"/>
  <c r="DH1" i="1"/>
  <c r="DE2" i="1"/>
  <c r="AQ7" i="1" s="1"/>
  <c r="DE1" i="1"/>
  <c r="DB4" i="1"/>
  <c r="K115" i="2" s="1" a="1"/>
  <c r="K115" i="2" s="1"/>
  <c r="K116" i="2" s="1"/>
  <c r="DB5" i="1"/>
  <c r="DB6" i="1"/>
  <c r="DB3" i="1"/>
  <c r="DA4" i="1"/>
  <c r="DA5" i="1"/>
  <c r="DA6" i="1"/>
  <c r="DA3" i="1"/>
  <c r="K106" i="2" l="1" a="1"/>
  <c r="K106" i="2" s="1"/>
  <c r="K107" i="2" s="1"/>
  <c r="L116" i="2" a="1"/>
  <c r="L116" i="2" s="1"/>
  <c r="L112" i="2" a="1"/>
  <c r="L112" i="2" s="1"/>
  <c r="K112" i="2" a="1"/>
  <c r="K112" i="2" s="1"/>
  <c r="K113" i="2" s="1"/>
  <c r="L115" i="2" a="1"/>
  <c r="L115" i="2" s="1"/>
  <c r="L107" i="2" a="1"/>
  <c r="L107" i="2" s="1"/>
  <c r="L106" i="2" a="1"/>
  <c r="L106" i="2" s="1"/>
  <c r="L110" i="2" a="1"/>
  <c r="L110" i="2" s="1"/>
  <c r="K109" i="2" a="1"/>
  <c r="K109" i="2" s="1"/>
  <c r="K110" i="2" s="1"/>
  <c r="L109" i="2" a="1"/>
  <c r="L109" i="2" s="1"/>
  <c r="L113" i="2" a="1"/>
  <c r="L113" i="2" s="1"/>
  <c r="AP7" i="1"/>
  <c r="L3" i="2"/>
  <c r="B7" i="1"/>
  <c r="E129" i="4" l="1"/>
  <c r="E130" i="4" s="1"/>
  <c r="F129" i="4"/>
  <c r="D129" i="4"/>
  <c r="L4" i="1" l="1"/>
  <c r="AL7" i="1" l="1"/>
  <c r="F2" i="1"/>
  <c r="F1" i="1"/>
  <c r="L2" i="2"/>
  <c r="R1" i="1"/>
  <c r="DA2" i="1" l="1"/>
  <c r="DB2" i="1"/>
  <c r="R6" i="1"/>
  <c r="Q6" i="1"/>
  <c r="P6" i="1"/>
  <c r="O6" i="1"/>
  <c r="F152" i="4"/>
  <c r="F153" i="4" s="1"/>
  <c r="E134" i="4"/>
  <c r="B21" i="2" l="1"/>
  <c r="B20" i="2"/>
  <c r="B10" i="2" l="1"/>
  <c r="A1" i="9" a="1"/>
  <c r="A1" i="9" s="1"/>
  <c r="A1" i="5" l="1" a="1"/>
  <c r="A1" i="5" s="1"/>
  <c r="K34" i="5"/>
  <c r="K33" i="5"/>
  <c r="K32" i="5"/>
  <c r="K31" i="5"/>
  <c r="A1" i="8" l="1" a="1"/>
  <c r="A1" i="8" s="1"/>
  <c r="N69" i="5" l="1"/>
  <c r="N68" i="5"/>
  <c r="N67" i="5"/>
  <c r="N62" i="5"/>
  <c r="N61" i="5"/>
  <c r="N60" i="5"/>
  <c r="N48" i="5"/>
  <c r="N47" i="5"/>
  <c r="N46" i="5"/>
  <c r="O69" i="5"/>
  <c r="O68" i="5"/>
  <c r="M68" i="5"/>
  <c r="L69" i="5" s="1"/>
  <c r="O67" i="5"/>
  <c r="M67" i="5"/>
  <c r="L68" i="5" s="1"/>
  <c r="O66" i="5"/>
  <c r="M66" i="5"/>
  <c r="L67" i="5" s="1"/>
  <c r="O62" i="5"/>
  <c r="O61" i="5"/>
  <c r="M61" i="5"/>
  <c r="L62" i="5" s="1"/>
  <c r="O60" i="5"/>
  <c r="M60" i="5"/>
  <c r="L61" i="5" s="1"/>
  <c r="O59" i="5"/>
  <c r="M59" i="5"/>
  <c r="L60" i="5" s="1"/>
  <c r="O55" i="5"/>
  <c r="N55" i="5"/>
  <c r="O54" i="5"/>
  <c r="N54" i="5"/>
  <c r="M54" i="5"/>
  <c r="L55" i="5" s="1"/>
  <c r="O53" i="5"/>
  <c r="N53" i="5"/>
  <c r="M53" i="5"/>
  <c r="L54" i="5" s="1"/>
  <c r="O52" i="5"/>
  <c r="M52" i="5"/>
  <c r="L53" i="5" s="1"/>
  <c r="O48" i="5"/>
  <c r="O47" i="5"/>
  <c r="M47" i="5"/>
  <c r="L48" i="5" s="1"/>
  <c r="O46" i="5"/>
  <c r="M46" i="5"/>
  <c r="L47" i="5" s="1"/>
  <c r="O45" i="5"/>
  <c r="M45" i="5"/>
  <c r="L46" i="5" s="1"/>
  <c r="K41" i="5"/>
  <c r="K40" i="5"/>
  <c r="K39" i="5"/>
  <c r="K38" i="5"/>
  <c r="K26" i="5"/>
  <c r="K25" i="5"/>
  <c r="K24" i="5"/>
  <c r="K23" i="5"/>
  <c r="K20" i="5"/>
  <c r="K19" i="5"/>
  <c r="K18" i="5"/>
  <c r="K17" i="5"/>
  <c r="D86" i="4" l="1"/>
  <c r="D85" i="4"/>
  <c r="D82" i="4"/>
  <c r="D81" i="4"/>
  <c r="C93" i="4"/>
  <c r="D93" i="4"/>
  <c r="E93" i="4"/>
  <c r="F93" i="4"/>
  <c r="W7" i="1"/>
  <c r="V7" i="1"/>
  <c r="U7" i="1"/>
  <c r="T7" i="1"/>
  <c r="B15" i="2"/>
  <c r="AV5" i="1"/>
  <c r="AU5" i="1"/>
  <c r="AT5" i="1"/>
  <c r="AS5" i="1"/>
  <c r="R5" i="1" l="1"/>
  <c r="Q5" i="1"/>
  <c r="P5" i="1"/>
  <c r="O5" i="1"/>
  <c r="D116" i="2"/>
  <c r="D113" i="2"/>
  <c r="D110" i="2"/>
  <c r="D107" i="2"/>
  <c r="AV6" i="1"/>
  <c r="AU6" i="1"/>
  <c r="AT6" i="1"/>
  <c r="B91" i="2"/>
  <c r="B90" i="2"/>
  <c r="E17" i="2"/>
  <c r="AS6" i="1" l="1"/>
  <c r="E50" i="2"/>
  <c r="B50" i="2"/>
  <c r="E21" i="2"/>
  <c r="E18" i="2"/>
  <c r="B18" i="2"/>
  <c r="E49" i="2"/>
  <c r="AI87" i="1"/>
  <c r="J87" i="1"/>
  <c r="AI88" i="1"/>
  <c r="J88" i="1"/>
  <c r="AI89" i="1"/>
  <c r="J89" i="1"/>
  <c r="AI90" i="1"/>
  <c r="J90" i="1"/>
  <c r="AI91" i="1"/>
  <c r="J91" i="1"/>
  <c r="AI92" i="1"/>
  <c r="J92" i="1"/>
  <c r="M6" i="1"/>
  <c r="F6" i="1"/>
  <c r="AE6" i="1"/>
  <c r="BI6" i="1"/>
  <c r="M5" i="1"/>
  <c r="F5" i="1"/>
  <c r="AE5" i="1"/>
  <c r="B49" i="2"/>
  <c r="B17" i="2"/>
  <c r="E20" i="2"/>
  <c r="AL90" i="1" l="1"/>
  <c r="AM90" i="1" s="1"/>
  <c r="AL89" i="1"/>
  <c r="AM89" i="1" s="1"/>
  <c r="AL92" i="1"/>
  <c r="AM92" i="1" s="1"/>
  <c r="AL88" i="1"/>
  <c r="AM88" i="1" s="1"/>
  <c r="AL91" i="1"/>
  <c r="AM91" i="1" s="1"/>
  <c r="AL87" i="1"/>
  <c r="AM87" i="1" s="1"/>
  <c r="F7" i="1"/>
  <c r="E133" i="4" l="1"/>
  <c r="F133" i="4" s="1"/>
  <c r="D133" i="4"/>
  <c r="E136" i="4"/>
  <c r="F136" i="4" s="1"/>
  <c r="F135" i="4" s="1"/>
  <c r="D136" i="4"/>
  <c r="D135" i="4" s="1"/>
  <c r="C136" i="4"/>
  <c r="C135" i="4"/>
  <c r="C134" i="4"/>
  <c r="C133" i="4"/>
  <c r="C147" i="4"/>
  <c r="C146" i="4"/>
  <c r="C145" i="4"/>
  <c r="C144" i="4"/>
  <c r="C213" i="4"/>
  <c r="C212" i="4"/>
  <c r="C211" i="4"/>
  <c r="C210" i="4"/>
  <c r="BI5" i="1"/>
  <c r="F182" i="4"/>
  <c r="F183" i="4" s="1"/>
  <c r="F184" i="4" s="1"/>
  <c r="F185" i="4" s="1"/>
  <c r="F186" i="4" s="1"/>
  <c r="F187" i="4" s="1"/>
  <c r="E186" i="4"/>
  <c r="D187" i="4" s="1"/>
  <c r="E185" i="4"/>
  <c r="D186" i="4" s="1"/>
  <c r="E184" i="4"/>
  <c r="D185" i="4" s="1"/>
  <c r="E183" i="4"/>
  <c r="D184" i="4" s="1"/>
  <c r="E182" i="4"/>
  <c r="D183" i="4" s="1"/>
  <c r="E181" i="4"/>
  <c r="D182" i="4" s="1"/>
  <c r="G187" i="4"/>
  <c r="G186" i="4"/>
  <c r="G185" i="4"/>
  <c r="G184" i="4"/>
  <c r="G183" i="4"/>
  <c r="G182" i="4"/>
  <c r="G181" i="4"/>
  <c r="F172" i="4"/>
  <c r="F173" i="4" s="1"/>
  <c r="F174" i="4" s="1"/>
  <c r="F175" i="4" s="1"/>
  <c r="F176" i="4" s="1"/>
  <c r="F177" i="4" s="1"/>
  <c r="E176" i="4"/>
  <c r="D177" i="4" s="1"/>
  <c r="E175" i="4"/>
  <c r="D176" i="4" s="1"/>
  <c r="E174" i="4"/>
  <c r="D175" i="4" s="1"/>
  <c r="E173" i="4"/>
  <c r="D174" i="4" s="1"/>
  <c r="E172" i="4"/>
  <c r="D173" i="4" s="1"/>
  <c r="E171" i="4"/>
  <c r="D172" i="4" s="1"/>
  <c r="G177" i="4"/>
  <c r="G176" i="4"/>
  <c r="G175" i="4"/>
  <c r="G174" i="4"/>
  <c r="G173" i="4"/>
  <c r="G172" i="4"/>
  <c r="G171" i="4"/>
  <c r="F162" i="4"/>
  <c r="E166" i="4"/>
  <c r="D167" i="4" s="1"/>
  <c r="E165" i="4"/>
  <c r="E164" i="4"/>
  <c r="D165" i="4" s="1"/>
  <c r="E163" i="4"/>
  <c r="D164" i="4" s="1"/>
  <c r="E162" i="4"/>
  <c r="D163" i="4" s="1"/>
  <c r="E161" i="4"/>
  <c r="D162" i="4" s="1"/>
  <c r="G167" i="4"/>
  <c r="G166" i="4"/>
  <c r="G165" i="4"/>
  <c r="D166" i="4"/>
  <c r="G164" i="4"/>
  <c r="G163" i="4"/>
  <c r="G162" i="4"/>
  <c r="G161" i="4"/>
  <c r="E156" i="4"/>
  <c r="D157" i="4" s="1"/>
  <c r="E155" i="4"/>
  <c r="D156" i="4" s="1"/>
  <c r="E154" i="4"/>
  <c r="D155" i="4" s="1"/>
  <c r="E153" i="4"/>
  <c r="D154" i="4" s="1"/>
  <c r="E151" i="4"/>
  <c r="D152" i="4" s="1"/>
  <c r="E152" i="4"/>
  <c r="D153" i="4" s="1"/>
  <c r="G157" i="4"/>
  <c r="G156" i="4"/>
  <c r="G155" i="4"/>
  <c r="G154" i="4"/>
  <c r="G153" i="4"/>
  <c r="G152" i="4"/>
  <c r="G151" i="4"/>
  <c r="BH5" i="1"/>
  <c r="AY5" i="1"/>
  <c r="F163" i="4" l="1"/>
  <c r="F164" i="4" s="1"/>
  <c r="F165" i="4" s="1"/>
  <c r="F166" i="4" s="1"/>
  <c r="F167" i="4" s="1"/>
  <c r="E135" i="4"/>
  <c r="F154" i="4" l="1"/>
  <c r="F155" i="4" l="1"/>
  <c r="F200" i="4"/>
  <c r="F134" i="4"/>
  <c r="E200" i="4" s="1"/>
  <c r="E206" i="4" s="1"/>
  <c r="E207" i="4" s="1"/>
  <c r="E211" i="4" s="1"/>
  <c r="D134" i="4"/>
  <c r="F156" i="4" l="1"/>
  <c r="F201" i="4"/>
  <c r="D210" i="4" s="1"/>
  <c r="F206" i="4"/>
  <c r="F207" i="4" s="1"/>
  <c r="E210" i="4" s="1"/>
  <c r="D200" i="4"/>
  <c r="F157" i="4" l="1"/>
  <c r="G206" i="4"/>
  <c r="G207" i="4" s="1"/>
  <c r="E212" i="4" s="1"/>
  <c r="D206" i="4"/>
  <c r="D207" i="4" s="1"/>
  <c r="E213" i="4" s="1"/>
  <c r="D201" i="4"/>
  <c r="D213" i="4" l="1"/>
  <c r="D212" i="4"/>
  <c r="T5" i="1"/>
  <c r="T6" i="1" s="1"/>
  <c r="U5" i="1"/>
  <c r="U6" i="1" s="1"/>
  <c r="V5" i="1"/>
  <c r="V6" i="1" s="1"/>
  <c r="W5" i="1"/>
  <c r="W6" i="1" s="1"/>
  <c r="D27" i="4"/>
  <c r="E26" i="4"/>
  <c r="E201" i="4"/>
  <c r="D211" i="4" s="1"/>
  <c r="D18" i="4"/>
  <c r="E17" i="4"/>
  <c r="AI76" i="1"/>
  <c r="J76" i="1"/>
  <c r="AI77" i="1"/>
  <c r="J77" i="1"/>
  <c r="AI78" i="1"/>
  <c r="J78" i="1"/>
  <c r="AI79" i="1"/>
  <c r="J79" i="1"/>
  <c r="AI80" i="1"/>
  <c r="J80" i="1"/>
  <c r="AI81" i="1"/>
  <c r="J81" i="1"/>
  <c r="AI82" i="1"/>
  <c r="J82" i="1"/>
  <c r="AI83" i="1"/>
  <c r="J83" i="1"/>
  <c r="AI84" i="1"/>
  <c r="J84" i="1"/>
  <c r="AI85" i="1"/>
  <c r="J85" i="1"/>
  <c r="AI86" i="1"/>
  <c r="J86" i="1"/>
  <c r="AI52" i="1"/>
  <c r="J52" i="1"/>
  <c r="AI53" i="1"/>
  <c r="J53" i="1"/>
  <c r="AI54" i="1"/>
  <c r="J54" i="1"/>
  <c r="AI55" i="1"/>
  <c r="J55" i="1"/>
  <c r="AI56" i="1"/>
  <c r="J56" i="1"/>
  <c r="AI57" i="1"/>
  <c r="J57" i="1"/>
  <c r="AI58" i="1"/>
  <c r="J58" i="1"/>
  <c r="AI59" i="1"/>
  <c r="J59" i="1"/>
  <c r="AI60" i="1"/>
  <c r="J60" i="1"/>
  <c r="AI61" i="1"/>
  <c r="J61" i="1"/>
  <c r="AI62" i="1"/>
  <c r="J62" i="1"/>
  <c r="AI63" i="1"/>
  <c r="J63" i="1"/>
  <c r="AI64" i="1"/>
  <c r="J64" i="1"/>
  <c r="AI65" i="1"/>
  <c r="J65" i="1"/>
  <c r="AI66" i="1"/>
  <c r="J66" i="1"/>
  <c r="AI67" i="1"/>
  <c r="J67" i="1"/>
  <c r="AI68" i="1"/>
  <c r="J68" i="1"/>
  <c r="AI69" i="1"/>
  <c r="J69" i="1"/>
  <c r="AI70" i="1"/>
  <c r="J70" i="1"/>
  <c r="AI71" i="1"/>
  <c r="J71" i="1"/>
  <c r="AI72" i="1"/>
  <c r="J72" i="1"/>
  <c r="AI73" i="1"/>
  <c r="J73" i="1"/>
  <c r="AI74" i="1"/>
  <c r="J74" i="1"/>
  <c r="AI75" i="1"/>
  <c r="J75" i="1"/>
  <c r="BD5" i="1"/>
  <c r="D6" i="1"/>
  <c r="AL73" i="1" l="1"/>
  <c r="AM73" i="1" s="1"/>
  <c r="AL74" i="1"/>
  <c r="AM74" i="1" s="1"/>
  <c r="AL66" i="1"/>
  <c r="AM66" i="1" s="1"/>
  <c r="AL54" i="1"/>
  <c r="AM54" i="1" s="1"/>
  <c r="AL81" i="1"/>
  <c r="AM81" i="1" s="1"/>
  <c r="AL70" i="1"/>
  <c r="AM70" i="1" s="1"/>
  <c r="AL62" i="1"/>
  <c r="AM62" i="1" s="1"/>
  <c r="AL58" i="1"/>
  <c r="AM58" i="1" s="1"/>
  <c r="AL85" i="1"/>
  <c r="AM85" i="1" s="1"/>
  <c r="AL77" i="1"/>
  <c r="AM77" i="1" s="1"/>
  <c r="AL75" i="1"/>
  <c r="AM75" i="1" s="1"/>
  <c r="AL67" i="1"/>
  <c r="AL63" i="1"/>
  <c r="AL59" i="1"/>
  <c r="AM59" i="1" s="1"/>
  <c r="AL55" i="1"/>
  <c r="AM55" i="1" s="1"/>
  <c r="AL86" i="1"/>
  <c r="AM86" i="1" s="1"/>
  <c r="AL82" i="1"/>
  <c r="AM82" i="1" s="1"/>
  <c r="AL78" i="1"/>
  <c r="AM78" i="1" s="1"/>
  <c r="AL71" i="1"/>
  <c r="AM71" i="1" s="1"/>
  <c r="AL69" i="1"/>
  <c r="AM69" i="1" s="1"/>
  <c r="AL61" i="1"/>
  <c r="AM61" i="1" s="1"/>
  <c r="AL57" i="1"/>
  <c r="AM57" i="1" s="1"/>
  <c r="AL53" i="1"/>
  <c r="AM53" i="1" s="1"/>
  <c r="AL84" i="1"/>
  <c r="AM84" i="1" s="1"/>
  <c r="AL80" i="1"/>
  <c r="AM80" i="1" s="1"/>
  <c r="AL76" i="1"/>
  <c r="AM76" i="1" s="1"/>
  <c r="AL65" i="1"/>
  <c r="AM65" i="1" s="1"/>
  <c r="AL72" i="1"/>
  <c r="AM72" i="1" s="1"/>
  <c r="AL68" i="1"/>
  <c r="AM68" i="1" s="1"/>
  <c r="AL64" i="1"/>
  <c r="AM64" i="1" s="1"/>
  <c r="AL60" i="1"/>
  <c r="AM60" i="1" s="1"/>
  <c r="AL56" i="1"/>
  <c r="AM56" i="1" s="1"/>
  <c r="AL52" i="1"/>
  <c r="AM52" i="1" s="1"/>
  <c r="AL83" i="1"/>
  <c r="AM83" i="1" s="1"/>
  <c r="AL79" i="1"/>
  <c r="AM79" i="1" s="1"/>
  <c r="AM67" i="1"/>
  <c r="AM63" i="1"/>
  <c r="C20" i="4"/>
  <c r="C12" i="4"/>
  <c r="E103" i="2" s="1"/>
  <c r="C99" i="4" l="1"/>
  <c r="E99" i="4" l="1"/>
  <c r="E98" i="4" s="1"/>
  <c r="F98" i="4" s="1"/>
  <c r="C94" i="4"/>
  <c r="D94" i="4" s="1"/>
  <c r="C97" i="4"/>
  <c r="D97" i="4" s="1"/>
  <c r="C100" i="4"/>
  <c r="C98" i="4"/>
  <c r="D98" i="4" s="1"/>
  <c r="D99" i="4"/>
  <c r="C96" i="4"/>
  <c r="D96" i="4" s="1"/>
  <c r="C95" i="4"/>
  <c r="D95" i="4" s="1"/>
  <c r="M4" i="1"/>
  <c r="L5"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7" i="1"/>
  <c r="J8" i="1"/>
  <c r="J9" i="1"/>
  <c r="AC6" i="1"/>
  <c r="AI11" i="1"/>
  <c r="AI12" i="1"/>
  <c r="AI13" i="1"/>
  <c r="AI14" i="1"/>
  <c r="AI15"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I47" i="1"/>
  <c r="AI48" i="1"/>
  <c r="AI49" i="1"/>
  <c r="AI50" i="1"/>
  <c r="AI51" i="1"/>
  <c r="AI7" i="1"/>
  <c r="AI8" i="1"/>
  <c r="AI9" i="1"/>
  <c r="C7" i="1"/>
  <c r="A7" i="1"/>
  <c r="J10" i="1"/>
  <c r="AI10" i="1"/>
  <c r="AT7" i="1" l="1" a="1"/>
  <c r="AT7" i="1" s="1"/>
  <c r="AU7" i="1" a="1"/>
  <c r="AU7" i="1" s="1"/>
  <c r="AV7" i="1" a="1"/>
  <c r="AV7" i="1" s="1"/>
  <c r="L7" i="1" a="1"/>
  <c r="L7" i="1" s="1"/>
  <c r="AY7" i="1" a="1"/>
  <c r="AY7" i="1" s="1"/>
  <c r="BD7" i="1" a="1"/>
  <c r="BD7" i="1" s="1"/>
  <c r="M7" i="1" a="1"/>
  <c r="M7" i="1" s="1"/>
  <c r="AS7" i="1" a="1"/>
  <c r="AS7" i="1" s="1"/>
  <c r="BE7" i="1" a="1"/>
  <c r="BE7" i="1" s="1"/>
  <c r="O7" i="1" a="1"/>
  <c r="O7" i="1" s="1"/>
  <c r="Q7" i="1" a="1"/>
  <c r="Q7" i="1" s="1"/>
  <c r="R7" i="1" a="1"/>
  <c r="R7" i="1" s="1"/>
  <c r="P7" i="1" a="1"/>
  <c r="P7" i="1" s="1"/>
  <c r="AZ7" i="1" a="1"/>
  <c r="AZ7" i="1" s="1"/>
  <c r="AL44" i="1"/>
  <c r="AL36" i="1"/>
  <c r="AM36" i="1" s="1"/>
  <c r="AL28" i="1"/>
  <c r="AM28" i="1" s="1"/>
  <c r="AL20" i="1"/>
  <c r="AM20" i="1" s="1"/>
  <c r="AL12" i="1"/>
  <c r="AL46" i="1"/>
  <c r="AM46" i="1" s="1"/>
  <c r="AL38" i="1"/>
  <c r="AM38" i="1" s="1"/>
  <c r="AL30" i="1"/>
  <c r="AM30" i="1" s="1"/>
  <c r="AL22" i="1"/>
  <c r="AL9" i="1"/>
  <c r="AL49" i="1"/>
  <c r="AL41" i="1"/>
  <c r="AL33" i="1"/>
  <c r="AL25" i="1"/>
  <c r="AM25" i="1" s="1"/>
  <c r="AL17" i="1"/>
  <c r="AL8" i="1"/>
  <c r="AM8" i="1" s="1"/>
  <c r="AL45" i="1"/>
  <c r="AL37" i="1"/>
  <c r="AM37" i="1" s="1"/>
  <c r="AL29" i="1"/>
  <c r="AM29" i="1" s="1"/>
  <c r="AL21" i="1"/>
  <c r="AM21" i="1" s="1"/>
  <c r="C8" i="1"/>
  <c r="C9" i="1" s="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 r="C47" i="1" s="1"/>
  <c r="C48" i="1" s="1"/>
  <c r="C49" i="1" s="1"/>
  <c r="C50" i="1" s="1"/>
  <c r="C51" i="1" s="1"/>
  <c r="C52" i="1" s="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AL10" i="1"/>
  <c r="AL51" i="1"/>
  <c r="AM51" i="1" s="1"/>
  <c r="AL35" i="1"/>
  <c r="AM35" i="1" s="1"/>
  <c r="AL11" i="1"/>
  <c r="AL50" i="1"/>
  <c r="AM50" i="1" s="1"/>
  <c r="AL42" i="1"/>
  <c r="AM42" i="1" s="1"/>
  <c r="AL34" i="1"/>
  <c r="AM34" i="1" s="1"/>
  <c r="AL26" i="1"/>
  <c r="AM26" i="1" s="1"/>
  <c r="AL18" i="1"/>
  <c r="AM18" i="1" s="1"/>
  <c r="AL43" i="1"/>
  <c r="AM43" i="1" s="1"/>
  <c r="AL19" i="1"/>
  <c r="AM19" i="1" s="1"/>
  <c r="AL27" i="1"/>
  <c r="AM27" i="1" s="1"/>
  <c r="AL47" i="1"/>
  <c r="AM47" i="1" s="1"/>
  <c r="AL48" i="1"/>
  <c r="AM48" i="1" s="1"/>
  <c r="AL40" i="1"/>
  <c r="AM40" i="1" s="1"/>
  <c r="AL32" i="1"/>
  <c r="AM32" i="1" s="1"/>
  <c r="AL24" i="1"/>
  <c r="AM24" i="1" s="1"/>
  <c r="AL16" i="1"/>
  <c r="AM16" i="1" s="1"/>
  <c r="AL39" i="1"/>
  <c r="AM39" i="1" s="1"/>
  <c r="AL14" i="1"/>
  <c r="AM14" i="1" s="1"/>
  <c r="AL31" i="1"/>
  <c r="AM31" i="1" s="1"/>
  <c r="AL23" i="1"/>
  <c r="AM23" i="1" s="1"/>
  <c r="AL15" i="1"/>
  <c r="AM15" i="1" s="1"/>
  <c r="AL13" i="1"/>
  <c r="E100" i="4"/>
  <c r="E101" i="4" s="1"/>
  <c r="E95" i="4"/>
  <c r="F95" i="4" s="1"/>
  <c r="E96" i="4"/>
  <c r="F96" i="4" s="1"/>
  <c r="E94" i="4"/>
  <c r="F94" i="4" s="1"/>
  <c r="F99" i="4"/>
  <c r="E97" i="4"/>
  <c r="F97" i="4" s="1"/>
  <c r="AM17" i="1"/>
  <c r="D100" i="4"/>
  <c r="C101" i="4"/>
  <c r="AM45" i="1"/>
  <c r="AM49" i="1"/>
  <c r="AM41" i="1"/>
  <c r="AM33" i="1"/>
  <c r="AM7" i="1"/>
  <c r="AM44" i="1"/>
  <c r="AM22" i="1"/>
  <c r="A8" i="1"/>
  <c r="B8" i="1"/>
  <c r="AT8" i="1" l="1" a="1"/>
  <c r="AT8" i="1" s="1"/>
  <c r="AV8" i="1" a="1"/>
  <c r="AV8" i="1" s="1"/>
  <c r="AU8" i="1" a="1"/>
  <c r="AU8" i="1" s="1"/>
  <c r="AP8" i="1"/>
  <c r="AQ8" i="1"/>
  <c r="AY8" i="1" a="1"/>
  <c r="AY8" i="1" s="1"/>
  <c r="AS8" i="1" a="1"/>
  <c r="AS8" i="1" s="1"/>
  <c r="AZ8" i="1" a="1"/>
  <c r="AZ8" i="1" s="1"/>
  <c r="AZ9" i="1" s="1" a="1"/>
  <c r="AZ9" i="1" s="1"/>
  <c r="F100" i="4"/>
  <c r="BA7" i="1"/>
  <c r="E102" i="4"/>
  <c r="F102" i="4" s="1"/>
  <c r="F101" i="4"/>
  <c r="C102" i="4"/>
  <c r="D102" i="4" s="1"/>
  <c r="D101" i="4"/>
  <c r="AW7" i="1"/>
  <c r="BB7" i="1" s="1" a="1"/>
  <c r="BB7" i="1" s="1"/>
  <c r="A9" i="1"/>
  <c r="H7" i="1"/>
  <c r="B9" i="1"/>
  <c r="AG7" i="1"/>
  <c r="AT9" i="1" l="1" a="1"/>
  <c r="AT9" i="1" s="1"/>
  <c r="AU9" i="1" a="1"/>
  <c r="AU9" i="1" s="1"/>
  <c r="AV9" i="1" a="1"/>
  <c r="AV9" i="1" s="1"/>
  <c r="AS9" i="1" a="1"/>
  <c r="AS9" i="1" s="1"/>
  <c r="AY9" i="1" a="1"/>
  <c r="AY9" i="1" s="1"/>
  <c r="AQ9" i="1"/>
  <c r="AP9" i="1"/>
  <c r="BA8" i="1"/>
  <c r="A10" i="1"/>
  <c r="B10" i="1"/>
  <c r="AV10" i="1" l="1" a="1"/>
  <c r="AV10" i="1" s="1"/>
  <c r="AT10" i="1" a="1"/>
  <c r="AT10" i="1" s="1"/>
  <c r="AU10" i="1" a="1"/>
  <c r="AU10" i="1" s="1"/>
  <c r="AP10" i="1"/>
  <c r="AS10" i="1" a="1"/>
  <c r="AS10" i="1" s="1"/>
  <c r="AZ10" i="1" a="1"/>
  <c r="AZ10" i="1" s="1"/>
  <c r="AZ11" i="1" s="1" a="1"/>
  <c r="AZ11" i="1" s="1"/>
  <c r="AQ10" i="1"/>
  <c r="AY10" i="1" a="1"/>
  <c r="AY10" i="1" s="1"/>
  <c r="AY11" i="1" s="1" a="1"/>
  <c r="AY11" i="1" s="1"/>
  <c r="BA9" i="1"/>
  <c r="A11" i="1"/>
  <c r="B11" i="1"/>
  <c r="AV11" i="1" l="1" a="1"/>
  <c r="AV11" i="1" s="1"/>
  <c r="AQ11" i="1"/>
  <c r="AU11" i="1" a="1"/>
  <c r="AU11" i="1" s="1"/>
  <c r="AT11" i="1" a="1"/>
  <c r="AT11" i="1" s="1"/>
  <c r="AS11" i="1" a="1"/>
  <c r="AS11" i="1" s="1"/>
  <c r="AP11" i="1"/>
  <c r="BA10" i="1"/>
  <c r="A12" i="1"/>
  <c r="B12" i="1"/>
  <c r="AT12" i="1" l="1" a="1"/>
  <c r="AT12" i="1" s="1"/>
  <c r="AY12" i="1" a="1"/>
  <c r="AY12" i="1" s="1"/>
  <c r="AV12" i="1" a="1"/>
  <c r="AV12" i="1" s="1"/>
  <c r="AU12" i="1" a="1"/>
  <c r="AU12" i="1" s="1"/>
  <c r="AP12" i="1"/>
  <c r="AQ12" i="1"/>
  <c r="AS12" i="1" a="1"/>
  <c r="AS12" i="1" s="1"/>
  <c r="AS13" i="1" s="1" a="1"/>
  <c r="AS13" i="1" s="1"/>
  <c r="AZ12" i="1" a="1"/>
  <c r="AZ12" i="1" s="1"/>
  <c r="AZ13" i="1" s="1" a="1"/>
  <c r="AZ13" i="1" s="1"/>
  <c r="BA11" i="1"/>
  <c r="A13" i="1"/>
  <c r="B13" i="1"/>
  <c r="AU13" i="1" l="1" a="1"/>
  <c r="AU13" i="1" s="1"/>
  <c r="AT13" i="1" a="1"/>
  <c r="AT13" i="1" s="1"/>
  <c r="AQ13" i="1"/>
  <c r="AY13" i="1" a="1"/>
  <c r="AY13" i="1" s="1"/>
  <c r="AV13" i="1" a="1"/>
  <c r="AV13" i="1" s="1"/>
  <c r="AP13" i="1"/>
  <c r="BA12" i="1"/>
  <c r="A14" i="1"/>
  <c r="B14" i="1"/>
  <c r="AV14" i="1" l="1" a="1"/>
  <c r="AV14" i="1" s="1"/>
  <c r="AT14" i="1" a="1"/>
  <c r="AT14" i="1" s="1"/>
  <c r="AU14" i="1" a="1"/>
  <c r="AU14" i="1" s="1"/>
  <c r="AY14" i="1" a="1"/>
  <c r="AY14" i="1" s="1"/>
  <c r="AQ14" i="1"/>
  <c r="AZ14" i="1" a="1"/>
  <c r="AZ14" i="1" s="1"/>
  <c r="AP14" i="1"/>
  <c r="AS14" i="1" a="1"/>
  <c r="AS14" i="1" s="1"/>
  <c r="BA13" i="1"/>
  <c r="A15" i="1"/>
  <c r="B15" i="1"/>
  <c r="AT15" i="1" l="1" a="1"/>
  <c r="AT15" i="1" s="1"/>
  <c r="AU15" i="1" a="1"/>
  <c r="AU15" i="1" s="1"/>
  <c r="AV15" i="1" a="1"/>
  <c r="AV15" i="1" s="1"/>
  <c r="AY15" i="1" a="1"/>
  <c r="AY15" i="1" s="1"/>
  <c r="AS15" i="1" a="1"/>
  <c r="AS15" i="1" s="1"/>
  <c r="AS16" i="1" s="1" a="1"/>
  <c r="AS16" i="1" s="1"/>
  <c r="AZ15" i="1" a="1"/>
  <c r="AZ15" i="1" s="1"/>
  <c r="AP15" i="1"/>
  <c r="AQ15" i="1"/>
  <c r="AQ16" i="1" s="1"/>
  <c r="BA14" i="1"/>
  <c r="A16" i="1"/>
  <c r="B16" i="1"/>
  <c r="AV16" i="1" l="1" a="1"/>
  <c r="AV16" i="1" s="1"/>
  <c r="AP16" i="1"/>
  <c r="AU16" i="1" a="1"/>
  <c r="AU16" i="1" s="1"/>
  <c r="AT16" i="1" a="1"/>
  <c r="AT16" i="1" s="1"/>
  <c r="AY16" i="1" a="1"/>
  <c r="AY16" i="1" s="1"/>
  <c r="AZ16" i="1" a="1"/>
  <c r="AZ16" i="1" s="1"/>
  <c r="BA15" i="1"/>
  <c r="A17" i="1"/>
  <c r="B17" i="1"/>
  <c r="AU17" i="1" l="1" a="1"/>
  <c r="AU17" i="1" s="1"/>
  <c r="AV17" i="1" a="1"/>
  <c r="AV17" i="1" s="1"/>
  <c r="AZ17" i="1" a="1"/>
  <c r="AZ17" i="1" s="1"/>
  <c r="AT17" i="1" a="1"/>
  <c r="AT17" i="1" s="1"/>
  <c r="AS17" i="1" a="1"/>
  <c r="AS17" i="1" s="1"/>
  <c r="AY17" i="1" a="1"/>
  <c r="AY17" i="1" s="1"/>
  <c r="AY18" i="1" s="1" a="1"/>
  <c r="AY18" i="1" s="1"/>
  <c r="AQ17" i="1"/>
  <c r="AP17" i="1"/>
  <c r="BA16" i="1"/>
  <c r="A18" i="1"/>
  <c r="B18" i="1"/>
  <c r="AT18" i="1" l="1" a="1"/>
  <c r="AT18" i="1" s="1"/>
  <c r="AU18" i="1" a="1"/>
  <c r="AU18" i="1" s="1"/>
  <c r="AV18" i="1" a="1"/>
  <c r="AV18" i="1" s="1"/>
  <c r="AZ18" i="1" a="1"/>
  <c r="AZ18" i="1" s="1"/>
  <c r="AZ19" i="1" s="1" a="1"/>
  <c r="AZ19" i="1" s="1"/>
  <c r="AP18" i="1"/>
  <c r="AS18" i="1" a="1"/>
  <c r="AS18" i="1" s="1"/>
  <c r="AS19" i="1" s="1" a="1"/>
  <c r="AS19" i="1" s="1"/>
  <c r="AQ18" i="1"/>
  <c r="BA17" i="1"/>
  <c r="A19" i="1"/>
  <c r="A20" i="1" s="1"/>
  <c r="B19" i="1"/>
  <c r="AV19" i="1" l="1" a="1"/>
  <c r="AV19" i="1" s="1"/>
  <c r="AT19" i="1" a="1"/>
  <c r="AT19" i="1" s="1"/>
  <c r="AU19" i="1" a="1"/>
  <c r="AU19" i="1" s="1"/>
  <c r="AY19" i="1" a="1"/>
  <c r="AY19" i="1" s="1"/>
  <c r="AP19" i="1"/>
  <c r="AQ19" i="1"/>
  <c r="BA18" i="1"/>
  <c r="B20" i="1"/>
  <c r="A21" i="1"/>
  <c r="AU20" i="1" l="1" a="1"/>
  <c r="AU20" i="1" s="1"/>
  <c r="AT20" i="1" a="1"/>
  <c r="AT20" i="1" s="1"/>
  <c r="AV20" i="1" a="1"/>
  <c r="AV20" i="1" s="1"/>
  <c r="AZ20" i="1" a="1"/>
  <c r="AZ20" i="1" s="1"/>
  <c r="AS20" i="1" a="1"/>
  <c r="AS20" i="1" s="1"/>
  <c r="AQ20" i="1"/>
  <c r="AP20" i="1"/>
  <c r="AY20" i="1" a="1"/>
  <c r="AY20" i="1" s="1"/>
  <c r="AY21" i="1" s="1" a="1"/>
  <c r="AY21" i="1" s="1"/>
  <c r="BA19" i="1"/>
  <c r="B21" i="1"/>
  <c r="A22" i="1"/>
  <c r="AU21" i="1" l="1" a="1"/>
  <c r="AU21" i="1" s="1"/>
  <c r="AV21" i="1" a="1"/>
  <c r="AV21" i="1" s="1"/>
  <c r="AT21" i="1" a="1"/>
  <c r="AT21" i="1" s="1"/>
  <c r="AT22" i="1" s="1" a="1"/>
  <c r="AT22" i="1" s="1"/>
  <c r="AQ21" i="1"/>
  <c r="AP21" i="1"/>
  <c r="AS21" i="1" a="1"/>
  <c r="AS21" i="1" s="1"/>
  <c r="AS22" i="1" s="1" a="1"/>
  <c r="AS22" i="1" s="1"/>
  <c r="AZ21" i="1" a="1"/>
  <c r="AZ21" i="1" s="1"/>
  <c r="AZ22" i="1" s="1" a="1"/>
  <c r="AZ22" i="1" s="1"/>
  <c r="BA20" i="1"/>
  <c r="B22" i="1"/>
  <c r="AU22" i="1" s="1" a="1"/>
  <c r="AU22" i="1" s="1"/>
  <c r="A23" i="1"/>
  <c r="AV22" i="1" l="1" a="1"/>
  <c r="AV22" i="1" s="1"/>
  <c r="AQ22" i="1"/>
  <c r="AP22" i="1"/>
  <c r="AY22" i="1" a="1"/>
  <c r="AY22" i="1" s="1"/>
  <c r="AY23" i="1" s="1" a="1"/>
  <c r="AY23" i="1" s="1"/>
  <c r="BA21" i="1"/>
  <c r="B23" i="1"/>
  <c r="AU23" i="1" s="1" a="1"/>
  <c r="AU23" i="1" s="1"/>
  <c r="A24" i="1"/>
  <c r="AV23" i="1" l="1" a="1"/>
  <c r="AV23" i="1" s="1"/>
  <c r="AT23" i="1" a="1"/>
  <c r="AT23" i="1" s="1"/>
  <c r="AT24" i="1" s="1" a="1"/>
  <c r="AT24" i="1" s="1"/>
  <c r="AS23" i="1" a="1"/>
  <c r="AS23" i="1" s="1"/>
  <c r="AP23" i="1"/>
  <c r="AQ23" i="1"/>
  <c r="AZ23" i="1" a="1"/>
  <c r="AZ23" i="1" s="1"/>
  <c r="B24" i="1"/>
  <c r="AU24" i="1" s="1" a="1"/>
  <c r="AU24" i="1" s="1"/>
  <c r="BA22" i="1"/>
  <c r="A25" i="1"/>
  <c r="AV24" i="1" l="1" a="1"/>
  <c r="AV24" i="1" s="1"/>
  <c r="AS24" i="1" a="1"/>
  <c r="AS24" i="1" s="1"/>
  <c r="AQ24" i="1"/>
  <c r="AP24" i="1"/>
  <c r="AZ24" i="1" a="1"/>
  <c r="AZ24" i="1" s="1"/>
  <c r="AZ25" i="1" s="1" a="1"/>
  <c r="AZ25" i="1" s="1"/>
  <c r="B25" i="1"/>
  <c r="AY24" i="1" a="1"/>
  <c r="AY24" i="1" s="1"/>
  <c r="AY25" i="1" s="1" a="1"/>
  <c r="AY25" i="1" s="1"/>
  <c r="BA23" i="1"/>
  <c r="A26" i="1"/>
  <c r="AS25" i="1" l="1" a="1"/>
  <c r="AS25" i="1" s="1"/>
  <c r="AT25" i="1" a="1"/>
  <c r="AT25" i="1" s="1"/>
  <c r="AV25" i="1" a="1"/>
  <c r="AV25" i="1" s="1"/>
  <c r="AU25" i="1" a="1"/>
  <c r="AU25" i="1" s="1"/>
  <c r="AU26" i="1" s="1" a="1"/>
  <c r="AU26" i="1" s="1"/>
  <c r="AU27" i="1" s="1" a="1"/>
  <c r="AU27" i="1" s="1"/>
  <c r="BA24" i="1"/>
  <c r="AP25" i="1"/>
  <c r="B26" i="1"/>
  <c r="B27" i="1" s="1"/>
  <c r="AQ25" i="1"/>
  <c r="BA25" i="1"/>
  <c r="A27" i="1"/>
  <c r="AT26" i="1" l="1" a="1"/>
  <c r="AT26" i="1" s="1"/>
  <c r="AT27" i="1" s="1" a="1"/>
  <c r="AT27" i="1" s="1"/>
  <c r="AV26" i="1" a="1"/>
  <c r="AV26" i="1" s="1"/>
  <c r="AV27" i="1" s="1" a="1"/>
  <c r="AV27" i="1" s="1"/>
  <c r="AS26" i="1" a="1"/>
  <c r="AS26" i="1" s="1"/>
  <c r="AS27" i="1" s="1" a="1"/>
  <c r="AS27" i="1" s="1"/>
  <c r="AQ26" i="1"/>
  <c r="AQ27" i="1" s="1"/>
  <c r="AZ26" i="1" a="1"/>
  <c r="AZ26" i="1" s="1"/>
  <c r="AZ27" i="1" s="1" a="1"/>
  <c r="AZ27" i="1" s="1"/>
  <c r="AZ28" i="1" s="1" a="1"/>
  <c r="AZ28" i="1" s="1"/>
  <c r="AY26" i="1" a="1"/>
  <c r="AY26" i="1" s="1"/>
  <c r="AY27" i="1" s="1" a="1"/>
  <c r="AY27" i="1" s="1"/>
  <c r="AY28" i="1" s="1" a="1"/>
  <c r="AY28" i="1" s="1"/>
  <c r="AP26" i="1"/>
  <c r="A28" i="1"/>
  <c r="B28" i="1"/>
  <c r="AP27" i="1" l="1"/>
  <c r="AP28" i="1" s="1"/>
  <c r="AU28" i="1" a="1"/>
  <c r="AU28" i="1" s="1"/>
  <c r="AT28" i="1" a="1"/>
  <c r="AT28" i="1" s="1"/>
  <c r="AV28" i="1" a="1"/>
  <c r="AV28" i="1" s="1"/>
  <c r="AV29" i="1" s="1" a="1"/>
  <c r="AV29" i="1" s="1"/>
  <c r="BA26" i="1"/>
  <c r="AQ28" i="1"/>
  <c r="AS28" i="1" a="1"/>
  <c r="AS28" i="1" s="1"/>
  <c r="AS29" i="1" s="1" a="1"/>
  <c r="AS29" i="1" s="1"/>
  <c r="BA27" i="1"/>
  <c r="A29" i="1"/>
  <c r="B29" i="1"/>
  <c r="AU29" i="1" l="1" a="1"/>
  <c r="AU29" i="1" s="1"/>
  <c r="AZ29" i="1" a="1"/>
  <c r="AZ29" i="1" s="1"/>
  <c r="AT29" i="1" a="1"/>
  <c r="AT29" i="1" s="1"/>
  <c r="AP29" i="1"/>
  <c r="AY29" i="1" a="1"/>
  <c r="AY29" i="1" s="1"/>
  <c r="AQ29" i="1"/>
  <c r="BA28" i="1"/>
  <c r="A30" i="1"/>
  <c r="B30" i="1"/>
  <c r="AT30" i="1" l="1" a="1"/>
  <c r="AT30" i="1" s="1"/>
  <c r="AU30" i="1" a="1"/>
  <c r="AU30" i="1" s="1"/>
  <c r="AV30" i="1" a="1"/>
  <c r="AV30" i="1" s="1"/>
  <c r="AP30" i="1"/>
  <c r="AY30" i="1" a="1"/>
  <c r="AY30" i="1" s="1"/>
  <c r="AZ30" i="1" a="1"/>
  <c r="AZ30" i="1" s="1"/>
  <c r="AZ31" i="1" s="1" a="1"/>
  <c r="AZ31" i="1" s="1"/>
  <c r="AQ30" i="1"/>
  <c r="AS30" i="1" a="1"/>
  <c r="AS30" i="1" s="1"/>
  <c r="AS31" i="1" s="1" a="1"/>
  <c r="AS31" i="1" s="1"/>
  <c r="BA29" i="1"/>
  <c r="A31" i="1"/>
  <c r="B31" i="1"/>
  <c r="AU31" i="1" l="1" a="1"/>
  <c r="AU31" i="1" s="1"/>
  <c r="AV31" i="1" a="1"/>
  <c r="AV31" i="1" s="1"/>
  <c r="AT31" i="1" a="1"/>
  <c r="AT31" i="1" s="1"/>
  <c r="AQ31" i="1"/>
  <c r="AP31" i="1"/>
  <c r="AY31" i="1" a="1"/>
  <c r="AY31" i="1" s="1"/>
  <c r="AY32" i="1" s="1" a="1"/>
  <c r="AY32" i="1" s="1"/>
  <c r="BA30" i="1"/>
  <c r="A32" i="1"/>
  <c r="B32" i="1"/>
  <c r="AT32" i="1" l="1" a="1"/>
  <c r="AT32" i="1" s="1"/>
  <c r="AZ32" i="1" a="1"/>
  <c r="AZ32" i="1" s="1"/>
  <c r="AP32" i="1"/>
  <c r="AU32" i="1" a="1"/>
  <c r="AU32" i="1" s="1"/>
  <c r="AV32" i="1" a="1"/>
  <c r="AV32" i="1" s="1"/>
  <c r="AQ32" i="1"/>
  <c r="AS32" i="1" a="1"/>
  <c r="AS32" i="1" s="1"/>
  <c r="BA31" i="1"/>
  <c r="A33" i="1"/>
  <c r="B33" i="1"/>
  <c r="AZ33" i="1" l="1" a="1"/>
  <c r="AZ33" i="1" s="1"/>
  <c r="AU33" i="1" a="1"/>
  <c r="AU33" i="1" s="1"/>
  <c r="AV33" i="1" a="1"/>
  <c r="AV33" i="1" s="1"/>
  <c r="AT33" i="1" a="1"/>
  <c r="AT33" i="1" s="1"/>
  <c r="AS33" i="1" a="1"/>
  <c r="AS33" i="1" s="1"/>
  <c r="AY33" i="1" a="1"/>
  <c r="AY33" i="1" s="1"/>
  <c r="AP33" i="1"/>
  <c r="AQ33" i="1"/>
  <c r="BA32" i="1"/>
  <c r="A34" i="1"/>
  <c r="B34" i="1"/>
  <c r="AT34" i="1" l="1" a="1"/>
  <c r="AT34" i="1" s="1"/>
  <c r="AV34" i="1" a="1"/>
  <c r="AV34" i="1" s="1"/>
  <c r="AQ34" i="1"/>
  <c r="AZ34" i="1" a="1"/>
  <c r="AZ34" i="1" s="1"/>
  <c r="AU34" i="1" a="1"/>
  <c r="AU34" i="1" s="1"/>
  <c r="AU35" i="1" s="1" a="1"/>
  <c r="AU35" i="1" s="1"/>
  <c r="AP34" i="1"/>
  <c r="AY34" i="1" a="1"/>
  <c r="AY34" i="1" s="1"/>
  <c r="AS34" i="1" a="1"/>
  <c r="AS34" i="1" s="1"/>
  <c r="BA33" i="1"/>
  <c r="A35" i="1"/>
  <c r="B35" i="1"/>
  <c r="AT35" i="1" l="1" a="1"/>
  <c r="AT35" i="1" s="1"/>
  <c r="AV35" i="1" a="1"/>
  <c r="AV35" i="1" s="1"/>
  <c r="AY35" i="1" a="1"/>
  <c r="AY35" i="1" s="1"/>
  <c r="AZ35" i="1" a="1"/>
  <c r="AZ35" i="1" s="1"/>
  <c r="AZ36" i="1" s="1" a="1"/>
  <c r="AZ36" i="1" s="1"/>
  <c r="AS35" i="1" a="1"/>
  <c r="AS35" i="1" s="1"/>
  <c r="AP35" i="1"/>
  <c r="AQ35" i="1"/>
  <c r="BA34" i="1"/>
  <c r="A36" i="1"/>
  <c r="B36" i="1"/>
  <c r="AT36" i="1" l="1" a="1"/>
  <c r="AT36" i="1" s="1"/>
  <c r="AV36" i="1" a="1"/>
  <c r="AV36" i="1" s="1"/>
  <c r="AU36" i="1" a="1"/>
  <c r="AU36" i="1" s="1"/>
  <c r="AQ36" i="1"/>
  <c r="AP36" i="1"/>
  <c r="AS36" i="1" a="1"/>
  <c r="AS36" i="1" s="1"/>
  <c r="AY36" i="1" a="1"/>
  <c r="AY36" i="1" s="1"/>
  <c r="BA35" i="1"/>
  <c r="A37" i="1"/>
  <c r="B37" i="1"/>
  <c r="AU37" i="1" l="1" a="1"/>
  <c r="AU37" i="1" s="1"/>
  <c r="AT37" i="1" a="1"/>
  <c r="AT37" i="1" s="1"/>
  <c r="AV37" i="1" a="1"/>
  <c r="AV37" i="1" s="1"/>
  <c r="AQ37" i="1"/>
  <c r="AY37" i="1" a="1"/>
  <c r="AY37" i="1" s="1"/>
  <c r="AZ37" i="1" a="1"/>
  <c r="AZ37" i="1" s="1"/>
  <c r="AZ38" i="1" s="1" a="1"/>
  <c r="AZ38" i="1" s="1"/>
  <c r="AS37" i="1" a="1"/>
  <c r="AS37" i="1" s="1"/>
  <c r="AP37" i="1"/>
  <c r="BA36" i="1"/>
  <c r="A38" i="1"/>
  <c r="B38" i="1"/>
  <c r="AT38" i="1" l="1" a="1"/>
  <c r="AT38" i="1" s="1"/>
  <c r="AV38" i="1" a="1"/>
  <c r="AV38" i="1" s="1"/>
  <c r="AU38" i="1" a="1"/>
  <c r="AU38" i="1" s="1"/>
  <c r="AS38" i="1" a="1"/>
  <c r="AS38" i="1" s="1"/>
  <c r="AP38" i="1"/>
  <c r="AY38" i="1" a="1"/>
  <c r="AY38" i="1" s="1"/>
  <c r="AQ38" i="1"/>
  <c r="BA37" i="1"/>
  <c r="A39" i="1"/>
  <c r="B39" i="1"/>
  <c r="AU39" i="1" l="1" a="1"/>
  <c r="AU39" i="1" s="1"/>
  <c r="AS39" i="1" a="1"/>
  <c r="AS39" i="1" s="1"/>
  <c r="AZ39" i="1" a="1"/>
  <c r="AZ39" i="1" s="1"/>
  <c r="AQ39" i="1"/>
  <c r="AT39" i="1" a="1"/>
  <c r="AT39" i="1" s="1"/>
  <c r="AV39" i="1" a="1"/>
  <c r="AV39" i="1" s="1"/>
  <c r="AV40" i="1" s="1" a="1"/>
  <c r="AV40" i="1" s="1"/>
  <c r="AP39" i="1"/>
  <c r="AY39" i="1" a="1"/>
  <c r="AY39" i="1" s="1"/>
  <c r="BA38" i="1"/>
  <c r="A40" i="1"/>
  <c r="B40" i="1"/>
  <c r="AQ40" i="1" l="1"/>
  <c r="AT40" i="1" a="1"/>
  <c r="AT40" i="1" s="1"/>
  <c r="AU40" i="1" a="1"/>
  <c r="AU40" i="1" s="1"/>
  <c r="AZ40" i="1" a="1"/>
  <c r="AZ40" i="1" s="1"/>
  <c r="AS40" i="1" a="1"/>
  <c r="AS40" i="1" s="1"/>
  <c r="AP40" i="1"/>
  <c r="AY40" i="1" a="1"/>
  <c r="AY40" i="1" s="1"/>
  <c r="AY41" i="1" s="1" a="1"/>
  <c r="AY41" i="1" s="1"/>
  <c r="BA39" i="1"/>
  <c r="A41" i="1"/>
  <c r="B41" i="1"/>
  <c r="AT41" i="1" l="1" a="1"/>
  <c r="AT41" i="1" s="1"/>
  <c r="AV41" i="1" a="1"/>
  <c r="AV41" i="1" s="1"/>
  <c r="AU41" i="1" a="1"/>
  <c r="AU41" i="1" s="1"/>
  <c r="AS41" i="1" a="1"/>
  <c r="AS41" i="1" s="1"/>
  <c r="AP41" i="1"/>
  <c r="AQ41" i="1"/>
  <c r="AZ41" i="1" a="1"/>
  <c r="AZ41" i="1" s="1"/>
  <c r="BA40" i="1"/>
  <c r="A42" i="1"/>
  <c r="B42" i="1"/>
  <c r="AT42" i="1" l="1" a="1"/>
  <c r="AT42" i="1" s="1"/>
  <c r="AU42" i="1" a="1"/>
  <c r="AU42" i="1" s="1"/>
  <c r="AV42" i="1" a="1"/>
  <c r="AV42" i="1" s="1"/>
  <c r="AP42" i="1"/>
  <c r="AZ42" i="1" a="1"/>
  <c r="AZ42" i="1" s="1"/>
  <c r="AZ43" i="1" s="1" a="1"/>
  <c r="AZ43" i="1" s="1"/>
  <c r="AS42" i="1" a="1"/>
  <c r="AS42" i="1" s="1"/>
  <c r="AS43" i="1" s="1" a="1"/>
  <c r="AS43" i="1" s="1"/>
  <c r="AY42" i="1" a="1"/>
  <c r="AY42" i="1" s="1"/>
  <c r="AY43" i="1" s="1" a="1"/>
  <c r="AY43" i="1" s="1"/>
  <c r="AQ42" i="1"/>
  <c r="BA41" i="1"/>
  <c r="A43" i="1"/>
  <c r="B43" i="1"/>
  <c r="AT43" i="1" l="1" a="1"/>
  <c r="AT43" i="1" s="1"/>
  <c r="AV43" i="1" a="1"/>
  <c r="AV43" i="1" s="1"/>
  <c r="AU43" i="1" a="1"/>
  <c r="AU43" i="1" s="1"/>
  <c r="AU44" i="1" s="1" a="1"/>
  <c r="AU44" i="1" s="1"/>
  <c r="AP43" i="1"/>
  <c r="AQ43" i="1"/>
  <c r="BA42" i="1"/>
  <c r="A44" i="1"/>
  <c r="B44" i="1"/>
  <c r="AT44" i="1" l="1" a="1"/>
  <c r="AT44" i="1" s="1"/>
  <c r="AV44" i="1" a="1"/>
  <c r="AV44" i="1" s="1"/>
  <c r="AP44" i="1"/>
  <c r="AQ44" i="1"/>
  <c r="AZ44" i="1" a="1"/>
  <c r="AZ44" i="1" s="1"/>
  <c r="AZ45" i="1" s="1" a="1"/>
  <c r="AZ45" i="1" s="1"/>
  <c r="AS44" i="1" a="1"/>
  <c r="AS44" i="1" s="1"/>
  <c r="AS45" i="1" s="1" a="1"/>
  <c r="AS45" i="1" s="1"/>
  <c r="AY44" i="1" a="1"/>
  <c r="AY44" i="1" s="1"/>
  <c r="AY45" i="1" s="1" a="1"/>
  <c r="AY45" i="1" s="1"/>
  <c r="BA43" i="1"/>
  <c r="A45" i="1"/>
  <c r="B45" i="1"/>
  <c r="AV45" i="1" l="1" a="1"/>
  <c r="AV45" i="1" s="1"/>
  <c r="AQ45" i="1"/>
  <c r="AT45" i="1" a="1"/>
  <c r="AT45" i="1" s="1"/>
  <c r="AU45" i="1" a="1"/>
  <c r="AU45" i="1" s="1"/>
  <c r="AU46" i="1" s="1" a="1"/>
  <c r="AU46" i="1" s="1"/>
  <c r="AP45" i="1"/>
  <c r="BA44" i="1"/>
  <c r="A46" i="1"/>
  <c r="B46" i="1"/>
  <c r="AV46" i="1" l="1" a="1"/>
  <c r="AV46" i="1" s="1"/>
  <c r="AT46" i="1" a="1"/>
  <c r="AT46" i="1" s="1"/>
  <c r="AP46" i="1"/>
  <c r="AZ46" i="1" a="1"/>
  <c r="AZ46" i="1" s="1"/>
  <c r="AQ46" i="1"/>
  <c r="AS46" i="1" a="1"/>
  <c r="AS46" i="1" s="1"/>
  <c r="AS47" i="1" s="1" a="1"/>
  <c r="AS47" i="1" s="1"/>
  <c r="AY46" i="1" a="1"/>
  <c r="AY46" i="1" s="1"/>
  <c r="AY47" i="1" s="1" a="1"/>
  <c r="AY47" i="1" s="1"/>
  <c r="BA45" i="1"/>
  <c r="A47" i="1"/>
  <c r="B47" i="1"/>
  <c r="AV47" i="1" l="1" a="1"/>
  <c r="AV47" i="1" s="1"/>
  <c r="AT47" i="1" a="1"/>
  <c r="AT47" i="1" s="1"/>
  <c r="AU47" i="1" a="1"/>
  <c r="AU47" i="1" s="1"/>
  <c r="AP47" i="1"/>
  <c r="AQ47" i="1"/>
  <c r="AZ47" i="1" a="1"/>
  <c r="AZ47" i="1" s="1"/>
  <c r="BA46" i="1"/>
  <c r="A48" i="1"/>
  <c r="B48" i="1"/>
  <c r="AV48" i="1" l="1" a="1"/>
  <c r="AV48" i="1" s="1"/>
  <c r="AU48" i="1" a="1"/>
  <c r="AU48" i="1" s="1"/>
  <c r="AT48" i="1" a="1"/>
  <c r="AT48" i="1" s="1"/>
  <c r="AQ48" i="1"/>
  <c r="AZ48" i="1" a="1"/>
  <c r="AZ48" i="1" s="1"/>
  <c r="AZ49" i="1" s="1" a="1"/>
  <c r="AZ49" i="1" s="1"/>
  <c r="AP48" i="1"/>
  <c r="AY48" i="1" a="1"/>
  <c r="AY48" i="1" s="1"/>
  <c r="AY49" i="1" s="1" a="1"/>
  <c r="AY49" i="1" s="1"/>
  <c r="AS48" i="1" a="1"/>
  <c r="AS48" i="1" s="1"/>
  <c r="AS49" i="1" s="1" a="1"/>
  <c r="AS49" i="1" s="1"/>
  <c r="BA47" i="1"/>
  <c r="A49" i="1"/>
  <c r="B49" i="1"/>
  <c r="AT49" i="1" l="1" a="1"/>
  <c r="AT49" i="1" s="1"/>
  <c r="AP49" i="1"/>
  <c r="AU49" i="1" a="1"/>
  <c r="AU49" i="1" s="1"/>
  <c r="AV49" i="1" a="1"/>
  <c r="AV49" i="1" s="1"/>
  <c r="AV50" i="1" s="1" a="1"/>
  <c r="AV50" i="1" s="1"/>
  <c r="AQ49" i="1"/>
  <c r="BA48" i="1"/>
  <c r="A50" i="1"/>
  <c r="B50" i="1"/>
  <c r="AT50" i="1" l="1" a="1"/>
  <c r="AT50" i="1" s="1"/>
  <c r="AQ50" i="1"/>
  <c r="AU50" i="1" a="1"/>
  <c r="AU50" i="1" s="1"/>
  <c r="AS50" i="1" a="1"/>
  <c r="AS50" i="1" s="1"/>
  <c r="AY50" i="1" a="1"/>
  <c r="AY50" i="1" s="1"/>
  <c r="AZ50" i="1" a="1"/>
  <c r="AZ50" i="1" s="1"/>
  <c r="AP50" i="1"/>
  <c r="BA49" i="1"/>
  <c r="A51" i="1"/>
  <c r="AT51" i="1" s="1" a="1"/>
  <c r="AT51" i="1" s="1"/>
  <c r="B51" i="1"/>
  <c r="AU51" i="1" l="1" a="1"/>
  <c r="AU51" i="1" s="1"/>
  <c r="AV51" i="1" a="1"/>
  <c r="AV51" i="1" s="1"/>
  <c r="AQ51" i="1"/>
  <c r="AZ51" i="1" a="1"/>
  <c r="AZ51" i="1" s="1"/>
  <c r="AP51" i="1"/>
  <c r="AS51" i="1" a="1"/>
  <c r="AS51" i="1" s="1"/>
  <c r="AS52" i="1" s="1" a="1"/>
  <c r="AS52" i="1" s="1"/>
  <c r="AY51" i="1" a="1"/>
  <c r="AY51" i="1" s="1"/>
  <c r="AY52" i="1" s="1" a="1"/>
  <c r="AY52" i="1" s="1"/>
  <c r="BA50" i="1"/>
  <c r="A52" i="1"/>
  <c r="B52" i="1"/>
  <c r="AV52" i="1" l="1" a="1"/>
  <c r="AV52" i="1" s="1"/>
  <c r="AT52" i="1" a="1"/>
  <c r="AT52" i="1" s="1"/>
  <c r="AP52" i="1"/>
  <c r="AU52" i="1" a="1"/>
  <c r="AU52" i="1" s="1"/>
  <c r="AU53" i="1" s="1" a="1"/>
  <c r="AU53" i="1" s="1"/>
  <c r="AQ52" i="1"/>
  <c r="AZ52" i="1" a="1"/>
  <c r="AZ52" i="1" s="1"/>
  <c r="BA51" i="1"/>
  <c r="B53" i="1"/>
  <c r="A53" i="1"/>
  <c r="AT53" i="1" l="1" a="1"/>
  <c r="AT53" i="1" s="1"/>
  <c r="AV53" i="1" a="1"/>
  <c r="AV53" i="1" s="1"/>
  <c r="AP53" i="1"/>
  <c r="AS53" i="1" a="1"/>
  <c r="AS53" i="1" s="1"/>
  <c r="AZ53" i="1" a="1"/>
  <c r="AZ53" i="1" s="1"/>
  <c r="AY53" i="1" a="1"/>
  <c r="AY53" i="1" s="1"/>
  <c r="AY54" i="1" s="1" a="1"/>
  <c r="AY54" i="1" s="1"/>
  <c r="AQ53" i="1"/>
  <c r="BA52" i="1"/>
  <c r="A54" i="1"/>
  <c r="B54" i="1"/>
  <c r="AT54" i="1" l="1" a="1"/>
  <c r="AT54" i="1" s="1"/>
  <c r="AP54" i="1"/>
  <c r="AU54" i="1" a="1"/>
  <c r="AU54" i="1" s="1"/>
  <c r="AV54" i="1" a="1"/>
  <c r="AV54" i="1" s="1"/>
  <c r="AV55" i="1" s="1" a="1"/>
  <c r="AV55" i="1" s="1"/>
  <c r="AZ54" i="1" a="1"/>
  <c r="AZ54" i="1" s="1"/>
  <c r="AQ54" i="1"/>
  <c r="AS54" i="1" a="1"/>
  <c r="AS54" i="1" s="1"/>
  <c r="AS55" i="1" s="1" a="1"/>
  <c r="AS55" i="1" s="1"/>
  <c r="BA53" i="1"/>
  <c r="B55" i="1"/>
  <c r="A55" i="1"/>
  <c r="AU55" i="1" l="1" a="1"/>
  <c r="AU55" i="1" s="1"/>
  <c r="AT55" i="1" a="1"/>
  <c r="AT55" i="1" s="1"/>
  <c r="AP55" i="1"/>
  <c r="AY55" i="1" a="1"/>
  <c r="AY55" i="1" s="1"/>
  <c r="AZ55" i="1" a="1"/>
  <c r="AZ55" i="1" s="1"/>
  <c r="AQ55" i="1"/>
  <c r="BA54" i="1"/>
  <c r="A56" i="1"/>
  <c r="B56" i="1"/>
  <c r="AT56" i="1" l="1" a="1"/>
  <c r="AT56" i="1" s="1"/>
  <c r="AU56" i="1" a="1"/>
  <c r="AU56" i="1" s="1"/>
  <c r="AV56" i="1" a="1"/>
  <c r="AV56" i="1" s="1"/>
  <c r="AP56" i="1"/>
  <c r="AQ56" i="1"/>
  <c r="AZ56" i="1" a="1"/>
  <c r="AZ56" i="1" s="1"/>
  <c r="AS56" i="1" a="1"/>
  <c r="AS56" i="1" s="1"/>
  <c r="AY56" i="1" a="1"/>
  <c r="AY56" i="1" s="1"/>
  <c r="AY57" i="1" s="1" a="1"/>
  <c r="AY57" i="1" s="1"/>
  <c r="BA55" i="1"/>
  <c r="B57" i="1"/>
  <c r="A57" i="1"/>
  <c r="AV57" i="1" l="1" a="1"/>
  <c r="AV57" i="1" s="1"/>
  <c r="AT57" i="1" a="1"/>
  <c r="AT57" i="1" s="1"/>
  <c r="AU57" i="1" a="1"/>
  <c r="AU57" i="1" s="1"/>
  <c r="AP57" i="1"/>
  <c r="AQ57" i="1"/>
  <c r="AZ57" i="1" a="1"/>
  <c r="AZ57" i="1" s="1"/>
  <c r="AS57" i="1" a="1"/>
  <c r="AS57" i="1" s="1"/>
  <c r="AS58" i="1" s="1" a="1"/>
  <c r="AS58" i="1" s="1"/>
  <c r="BA56" i="1"/>
  <c r="B58" i="1"/>
  <c r="A58" i="1"/>
  <c r="AT58" i="1" l="1" a="1"/>
  <c r="AT58" i="1" s="1"/>
  <c r="AY58" i="1" a="1"/>
  <c r="AY58" i="1" s="1"/>
  <c r="AU58" i="1" a="1"/>
  <c r="AU58" i="1" s="1"/>
  <c r="AV58" i="1" a="1"/>
  <c r="AV58" i="1" s="1"/>
  <c r="AP58" i="1"/>
  <c r="AZ58" i="1" a="1"/>
  <c r="AZ58" i="1" s="1"/>
  <c r="AQ58" i="1"/>
  <c r="BA57" i="1"/>
  <c r="A59" i="1"/>
  <c r="B59" i="1"/>
  <c r="AT59" i="1" l="1" a="1"/>
  <c r="AT59" i="1" s="1"/>
  <c r="BA58" i="1"/>
  <c r="AV59" i="1" a="1"/>
  <c r="AV59" i="1" s="1"/>
  <c r="AU59" i="1" a="1"/>
  <c r="AU59" i="1" s="1"/>
  <c r="AP59" i="1"/>
  <c r="AZ59" i="1" a="1"/>
  <c r="AZ59" i="1" s="1"/>
  <c r="AY59" i="1" a="1"/>
  <c r="AY59" i="1" s="1"/>
  <c r="AY60" i="1" s="1" a="1"/>
  <c r="AY60" i="1" s="1"/>
  <c r="AS59" i="1" a="1"/>
  <c r="AS59" i="1" s="1"/>
  <c r="AS60" i="1" s="1" a="1"/>
  <c r="AS60" i="1" s="1"/>
  <c r="AQ59" i="1"/>
  <c r="B60" i="1"/>
  <c r="A60" i="1"/>
  <c r="AU60" i="1" l="1" a="1"/>
  <c r="AU60" i="1" s="1"/>
  <c r="AT60" i="1" a="1"/>
  <c r="AT60" i="1" s="1"/>
  <c r="AV60" i="1" a="1"/>
  <c r="AV60" i="1" s="1"/>
  <c r="AP60" i="1"/>
  <c r="AQ60" i="1"/>
  <c r="AZ60" i="1" a="1"/>
  <c r="AZ60" i="1" s="1"/>
  <c r="BA59" i="1"/>
  <c r="A61" i="1"/>
  <c r="B61" i="1"/>
  <c r="AY61" i="1" l="1" a="1"/>
  <c r="AY61" i="1" s="1"/>
  <c r="AZ61" i="1" a="1"/>
  <c r="AZ61" i="1" s="1"/>
  <c r="AV61" i="1" a="1"/>
  <c r="AV61" i="1" s="1"/>
  <c r="AU61" i="1" a="1"/>
  <c r="AU61" i="1" s="1"/>
  <c r="AT61" i="1" a="1"/>
  <c r="AT61" i="1" s="1"/>
  <c r="AT62" i="1" s="1" a="1"/>
  <c r="AT62" i="1" s="1"/>
  <c r="AQ61" i="1"/>
  <c r="AP61" i="1"/>
  <c r="BA60" i="1"/>
  <c r="AS61" i="1" a="1"/>
  <c r="AS61" i="1" s="1"/>
  <c r="AS62" i="1" s="1" a="1"/>
  <c r="AS62" i="1" s="1"/>
  <c r="A62" i="1"/>
  <c r="B62" i="1"/>
  <c r="AZ62" i="1" l="1" a="1"/>
  <c r="AZ62" i="1" s="1"/>
  <c r="AU62" i="1" a="1"/>
  <c r="AU62" i="1" s="1"/>
  <c r="AV62" i="1" a="1"/>
  <c r="AV62" i="1" s="1"/>
  <c r="AQ62" i="1"/>
  <c r="AP62" i="1"/>
  <c r="AY62" i="1" a="1"/>
  <c r="AY62" i="1" s="1"/>
  <c r="AY63" i="1" s="1" a="1"/>
  <c r="AY63" i="1" s="1"/>
  <c r="BA61" i="1"/>
  <c r="B63" i="1"/>
  <c r="A63" i="1"/>
  <c r="AV63" i="1" l="1" a="1"/>
  <c r="AV63" i="1" s="1"/>
  <c r="AU63" i="1" a="1"/>
  <c r="AU63" i="1" s="1"/>
  <c r="AS63" i="1" a="1"/>
  <c r="AS63" i="1" s="1"/>
  <c r="AT63" i="1" a="1"/>
  <c r="AT63" i="1" s="1"/>
  <c r="AT64" i="1" s="1" a="1"/>
  <c r="AT64" i="1" s="1"/>
  <c r="AP63" i="1"/>
  <c r="AQ63" i="1"/>
  <c r="AZ63" i="1" a="1"/>
  <c r="AZ63" i="1" s="1"/>
  <c r="AZ64" i="1" s="1" a="1"/>
  <c r="AZ64" i="1" s="1"/>
  <c r="BA62" i="1"/>
  <c r="A64" i="1"/>
  <c r="B64" i="1"/>
  <c r="AU64" i="1" l="1" a="1"/>
  <c r="AU64" i="1" s="1"/>
  <c r="AV64" i="1" a="1"/>
  <c r="AV64" i="1" s="1"/>
  <c r="AQ64" i="1"/>
  <c r="AP64" i="1"/>
  <c r="AY64" i="1" a="1"/>
  <c r="AY64" i="1" s="1"/>
  <c r="AY65" i="1" s="1" a="1"/>
  <c r="AY65" i="1" s="1"/>
  <c r="AS64" i="1" a="1"/>
  <c r="AS64" i="1" s="1"/>
  <c r="AS65" i="1" s="1" a="1"/>
  <c r="AS65" i="1" s="1"/>
  <c r="BA63" i="1"/>
  <c r="B65" i="1"/>
  <c r="A65" i="1"/>
  <c r="AV65" i="1" l="1" a="1"/>
  <c r="AV65" i="1" s="1"/>
  <c r="AU65" i="1" a="1"/>
  <c r="AU65" i="1" s="1"/>
  <c r="AT65" i="1" a="1"/>
  <c r="AT65" i="1" s="1"/>
  <c r="AQ65" i="1"/>
  <c r="AP65" i="1"/>
  <c r="AZ65" i="1" a="1"/>
  <c r="AZ65" i="1" s="1"/>
  <c r="AZ66" i="1" s="1" a="1"/>
  <c r="AZ66" i="1" s="1"/>
  <c r="BA64" i="1"/>
  <c r="B66" i="1"/>
  <c r="A66" i="1"/>
  <c r="AT66" i="1" l="1" a="1"/>
  <c r="AT66" i="1" s="1"/>
  <c r="AU66" i="1" a="1"/>
  <c r="AU66" i="1" s="1"/>
  <c r="AV66" i="1" a="1"/>
  <c r="AV66" i="1" s="1"/>
  <c r="AP66" i="1"/>
  <c r="AQ66" i="1"/>
  <c r="AS66" i="1" a="1"/>
  <c r="AS66" i="1" s="1"/>
  <c r="AS67" i="1" s="1" a="1"/>
  <c r="AS67" i="1" s="1"/>
  <c r="AY66" i="1" a="1"/>
  <c r="AY66" i="1" s="1"/>
  <c r="AY67" i="1" s="1" a="1"/>
  <c r="AY67" i="1" s="1"/>
  <c r="BA65" i="1"/>
  <c r="A67" i="1"/>
  <c r="B67" i="1"/>
  <c r="AV67" i="1" l="1" a="1"/>
  <c r="AV67" i="1" s="1"/>
  <c r="AT67" i="1" a="1"/>
  <c r="AT67" i="1" s="1"/>
  <c r="AU67" i="1" a="1"/>
  <c r="AU67" i="1" s="1"/>
  <c r="AP67" i="1"/>
  <c r="AQ67" i="1"/>
  <c r="AZ67" i="1" a="1"/>
  <c r="AZ67" i="1" s="1"/>
  <c r="AZ68" i="1" s="1" a="1"/>
  <c r="AZ68" i="1" s="1"/>
  <c r="BA66" i="1"/>
  <c r="B68" i="1"/>
  <c r="A68" i="1"/>
  <c r="AT68" i="1" l="1" a="1"/>
  <c r="AT68" i="1" s="1"/>
  <c r="AU68" i="1" a="1"/>
  <c r="AU68" i="1" s="1"/>
  <c r="AV68" i="1" a="1"/>
  <c r="AV68" i="1" s="1"/>
  <c r="AS68" i="1" a="1"/>
  <c r="AS68" i="1" s="1"/>
  <c r="AP68" i="1"/>
  <c r="AQ68" i="1"/>
  <c r="AY68" i="1" a="1"/>
  <c r="AY68" i="1" s="1"/>
  <c r="AY69" i="1" s="1" a="1"/>
  <c r="AY69" i="1" s="1"/>
  <c r="BA67" i="1"/>
  <c r="B69" i="1"/>
  <c r="A69" i="1"/>
  <c r="AZ69" i="1" l="1" a="1"/>
  <c r="AZ69" i="1" s="1"/>
  <c r="AU69" i="1" a="1"/>
  <c r="AU69" i="1" s="1"/>
  <c r="AV69" i="1" a="1"/>
  <c r="AV69" i="1" s="1"/>
  <c r="AT69" i="1" a="1"/>
  <c r="AT69" i="1" s="1"/>
  <c r="AT70" i="1" s="1" a="1"/>
  <c r="AT70" i="1" s="1"/>
  <c r="AS69" i="1" a="1"/>
  <c r="AS69" i="1" s="1"/>
  <c r="AP69" i="1"/>
  <c r="AQ69" i="1"/>
  <c r="BA68" i="1"/>
  <c r="A70" i="1"/>
  <c r="B70" i="1"/>
  <c r="AU70" i="1" l="1" a="1"/>
  <c r="AU70" i="1" s="1"/>
  <c r="AV70" i="1" a="1"/>
  <c r="AV70" i="1" s="1"/>
  <c r="AZ70" i="1" a="1"/>
  <c r="AZ70" i="1" s="1"/>
  <c r="AQ70" i="1"/>
  <c r="AP70" i="1"/>
  <c r="AS70" i="1" a="1"/>
  <c r="AS70" i="1" s="1"/>
  <c r="AS71" i="1" s="1" a="1"/>
  <c r="AS71" i="1" s="1"/>
  <c r="AY70" i="1" a="1"/>
  <c r="AY70" i="1" s="1"/>
  <c r="AY71" i="1" s="1" a="1"/>
  <c r="AY71" i="1" s="1"/>
  <c r="BA69" i="1"/>
  <c r="B71" i="1"/>
  <c r="A71" i="1"/>
  <c r="AU71" i="1" l="1" a="1"/>
  <c r="AU71" i="1" s="1"/>
  <c r="AV71" i="1" a="1"/>
  <c r="AV71" i="1" s="1"/>
  <c r="AT71" i="1" a="1"/>
  <c r="AT71" i="1" s="1"/>
  <c r="AQ71" i="1"/>
  <c r="AP71" i="1"/>
  <c r="AZ71" i="1" a="1"/>
  <c r="AZ71" i="1" s="1"/>
  <c r="AZ72" i="1" s="1" a="1"/>
  <c r="AZ72" i="1" s="1"/>
  <c r="BA70" i="1"/>
  <c r="A72" i="1"/>
  <c r="B72" i="1"/>
  <c r="AT72" i="1" l="1" a="1"/>
  <c r="AT72" i="1" s="1"/>
  <c r="AY72" i="1" a="1"/>
  <c r="AY72" i="1" s="1"/>
  <c r="BA72" i="1" s="1"/>
  <c r="AV72" i="1" a="1"/>
  <c r="AV72" i="1" s="1"/>
  <c r="AU72" i="1" a="1"/>
  <c r="AU72" i="1" s="1"/>
  <c r="AQ72" i="1"/>
  <c r="AP72" i="1"/>
  <c r="AS72" i="1" a="1"/>
  <c r="AS72" i="1" s="1"/>
  <c r="BA71" i="1"/>
  <c r="B73" i="1"/>
  <c r="A73" i="1"/>
  <c r="AT73" i="1" l="1" a="1"/>
  <c r="AT73" i="1" s="1"/>
  <c r="AU73" i="1" a="1"/>
  <c r="AU73" i="1" s="1"/>
  <c r="AV73" i="1" a="1"/>
  <c r="AV73" i="1" s="1"/>
  <c r="AZ73" i="1" a="1"/>
  <c r="AZ73" i="1" s="1"/>
  <c r="AS73" i="1" a="1"/>
  <c r="AS73" i="1" s="1"/>
  <c r="AQ73" i="1"/>
  <c r="AP73" i="1"/>
  <c r="AY73" i="1" a="1"/>
  <c r="AY73" i="1" s="1"/>
  <c r="AY74" i="1" s="1" a="1"/>
  <c r="AY74" i="1" s="1"/>
  <c r="A74" i="1"/>
  <c r="B74" i="1"/>
  <c r="AU74" i="1" l="1" a="1"/>
  <c r="AU74" i="1" s="1"/>
  <c r="AT74" i="1" a="1"/>
  <c r="AT74" i="1" s="1"/>
  <c r="AV74" i="1" a="1"/>
  <c r="AV74" i="1" s="1"/>
  <c r="AP74" i="1"/>
  <c r="AQ74" i="1"/>
  <c r="AZ74" i="1" a="1"/>
  <c r="AZ74" i="1" s="1"/>
  <c r="AZ75" i="1" s="1" a="1"/>
  <c r="AZ75" i="1" s="1"/>
  <c r="AS74" i="1" a="1"/>
  <c r="AS74" i="1" s="1"/>
  <c r="BA73" i="1"/>
  <c r="A75" i="1"/>
  <c r="B75" i="1"/>
  <c r="AY75" i="1" l="1" a="1"/>
  <c r="AY75" i="1" s="1"/>
  <c r="AS75" i="1" a="1"/>
  <c r="AS75" i="1" s="1"/>
  <c r="AV75" i="1" a="1"/>
  <c r="AV75" i="1" s="1"/>
  <c r="AU75" i="1" a="1"/>
  <c r="AU75" i="1" s="1"/>
  <c r="AT75" i="1" a="1"/>
  <c r="AT75" i="1" s="1"/>
  <c r="AP75" i="1"/>
  <c r="AQ75" i="1"/>
  <c r="BA74" i="1"/>
  <c r="A76" i="1"/>
  <c r="B76" i="1"/>
  <c r="AZ76" i="1" l="1" a="1"/>
  <c r="AZ76" i="1" s="1"/>
  <c r="AU76" i="1" a="1"/>
  <c r="AU76" i="1" s="1"/>
  <c r="AT76" i="1" a="1"/>
  <c r="AT76" i="1" s="1"/>
  <c r="AV76" i="1" a="1"/>
  <c r="AV76" i="1" s="1"/>
  <c r="AY76" i="1" a="1"/>
  <c r="AY76" i="1" s="1"/>
  <c r="AS76" i="1" a="1"/>
  <c r="AS76" i="1" s="1"/>
  <c r="AP76" i="1"/>
  <c r="AQ76" i="1"/>
  <c r="BA75" i="1"/>
  <c r="B77" i="1"/>
  <c r="A77" i="1"/>
  <c r="AU77" i="1" l="1" a="1"/>
  <c r="AU77" i="1" s="1"/>
  <c r="AT77" i="1" a="1"/>
  <c r="AT77" i="1" s="1"/>
  <c r="AV77" i="1" a="1"/>
  <c r="AV77" i="1" s="1"/>
  <c r="AY77" i="1" a="1"/>
  <c r="AY77" i="1" s="1"/>
  <c r="AS77" i="1" a="1"/>
  <c r="AS77" i="1" s="1"/>
  <c r="AQ77" i="1"/>
  <c r="AP77" i="1"/>
  <c r="AZ77" i="1" a="1"/>
  <c r="AZ77" i="1" s="1"/>
  <c r="AZ78" i="1" s="1" a="1"/>
  <c r="AZ78" i="1" s="1"/>
  <c r="BA76" i="1"/>
  <c r="A78" i="1"/>
  <c r="B78" i="1"/>
  <c r="AT78" i="1" l="1" a="1"/>
  <c r="AT78" i="1" s="1"/>
  <c r="AV78" i="1" a="1"/>
  <c r="AV78" i="1" s="1"/>
  <c r="AU78" i="1" a="1"/>
  <c r="AU78" i="1" s="1"/>
  <c r="AS78" i="1" a="1"/>
  <c r="AS78" i="1" s="1"/>
  <c r="AQ78" i="1"/>
  <c r="AP78" i="1"/>
  <c r="AY78" i="1" a="1"/>
  <c r="AY78" i="1" s="1"/>
  <c r="AY79" i="1" s="1" a="1"/>
  <c r="AY79" i="1" s="1"/>
  <c r="BA77" i="1"/>
  <c r="B79" i="1"/>
  <c r="A79" i="1"/>
  <c r="AT79" i="1" s="1" a="1"/>
  <c r="AT79" i="1" s="1"/>
  <c r="AU79" i="1" l="1" a="1"/>
  <c r="AU79" i="1" s="1"/>
  <c r="AV79" i="1" a="1"/>
  <c r="AV79" i="1" s="1"/>
  <c r="AP79" i="1"/>
  <c r="AQ79" i="1"/>
  <c r="AS79" i="1" a="1"/>
  <c r="AS79" i="1" s="1"/>
  <c r="AS80" i="1" s="1" a="1"/>
  <c r="AS80" i="1" s="1"/>
  <c r="AZ79" i="1" a="1"/>
  <c r="AZ79" i="1" s="1"/>
  <c r="AZ80" i="1" s="1" a="1"/>
  <c r="AZ80" i="1" s="1"/>
  <c r="BA78" i="1"/>
  <c r="A80" i="1"/>
  <c r="AT80" i="1" s="1" a="1"/>
  <c r="AT80" i="1" s="1"/>
  <c r="B80" i="1"/>
  <c r="AV80" i="1" l="1" a="1"/>
  <c r="AV80" i="1" s="1"/>
  <c r="AU80" i="1" a="1"/>
  <c r="AU80" i="1" s="1"/>
  <c r="AY80" i="1" a="1"/>
  <c r="AY80" i="1" s="1"/>
  <c r="BA80" i="1" s="1"/>
  <c r="AQ80" i="1"/>
  <c r="AP80" i="1"/>
  <c r="BA79" i="1"/>
  <c r="B81" i="1"/>
  <c r="A81" i="1"/>
  <c r="AT81" i="1" s="1" a="1"/>
  <c r="AT81" i="1" s="1"/>
  <c r="AV81" i="1" l="1" a="1"/>
  <c r="AV81" i="1" s="1"/>
  <c r="AU81" i="1" a="1"/>
  <c r="AU81" i="1" s="1"/>
  <c r="AZ81" i="1" a="1"/>
  <c r="AZ81" i="1" s="1"/>
  <c r="AS81" i="1" a="1"/>
  <c r="AS81" i="1" s="1"/>
  <c r="AQ81" i="1"/>
  <c r="AP81" i="1"/>
  <c r="AY81" i="1" a="1"/>
  <c r="AY81" i="1" s="1"/>
  <c r="AY82" i="1" s="1" a="1"/>
  <c r="AY82" i="1" s="1"/>
  <c r="A82" i="1"/>
  <c r="AT82" i="1" s="1" a="1"/>
  <c r="AT82" i="1" s="1"/>
  <c r="B82" i="1"/>
  <c r="AU82" i="1" l="1" a="1"/>
  <c r="AU82" i="1" s="1"/>
  <c r="AV82" i="1" a="1"/>
  <c r="AV82" i="1" s="1"/>
  <c r="AZ82" i="1" a="1"/>
  <c r="AZ82" i="1" s="1"/>
  <c r="AS82" i="1" a="1"/>
  <c r="AS82" i="1" s="1"/>
  <c r="AP82" i="1"/>
  <c r="AQ82" i="1"/>
  <c r="BA81" i="1"/>
  <c r="A83" i="1"/>
  <c r="AT83" i="1" s="1" a="1"/>
  <c r="AT83" i="1" s="1"/>
  <c r="B83" i="1"/>
  <c r="AV83" i="1" l="1" a="1"/>
  <c r="AV83" i="1" s="1"/>
  <c r="AU83" i="1" a="1"/>
  <c r="AU83" i="1" s="1"/>
  <c r="AP83" i="1"/>
  <c r="AQ83" i="1"/>
  <c r="AY83" i="1" a="1"/>
  <c r="AY83" i="1" s="1"/>
  <c r="AY84" i="1" s="1" a="1"/>
  <c r="AY84" i="1" s="1"/>
  <c r="AS83" i="1" a="1"/>
  <c r="AS83" i="1" s="1"/>
  <c r="AS84" i="1" s="1" a="1"/>
  <c r="AS84" i="1" s="1"/>
  <c r="AZ83" i="1" a="1"/>
  <c r="AZ83" i="1" s="1"/>
  <c r="AZ84" i="1" s="1" a="1"/>
  <c r="AZ84" i="1" s="1"/>
  <c r="BA82" i="1"/>
  <c r="A84" i="1"/>
  <c r="B84" i="1"/>
  <c r="AT84" i="1" l="1" a="1"/>
  <c r="AT84" i="1" s="1"/>
  <c r="AV84" i="1" a="1"/>
  <c r="AV84" i="1" s="1"/>
  <c r="AU84" i="1" a="1"/>
  <c r="AU84" i="1" s="1"/>
  <c r="AQ84" i="1"/>
  <c r="AP84" i="1"/>
  <c r="BA83" i="1"/>
  <c r="A85" i="1"/>
  <c r="B85" i="1"/>
  <c r="AT85" i="1" l="1" a="1"/>
  <c r="AT85" i="1" s="1"/>
  <c r="AU85" i="1" a="1"/>
  <c r="AU85" i="1" s="1"/>
  <c r="AV85" i="1" a="1"/>
  <c r="AV85" i="1" s="1"/>
  <c r="AS85" i="1" a="1"/>
  <c r="AS85" i="1" s="1"/>
  <c r="AY85" i="1" a="1"/>
  <c r="AY85" i="1" s="1"/>
  <c r="AZ85" i="1" a="1"/>
  <c r="AZ85" i="1" s="1"/>
  <c r="AZ86" i="1" s="1" a="1"/>
  <c r="AZ86" i="1" s="1"/>
  <c r="AQ85" i="1"/>
  <c r="AP85" i="1"/>
  <c r="BA84" i="1"/>
  <c r="A86" i="1"/>
  <c r="B86" i="1"/>
  <c r="AT86" i="1" l="1" a="1"/>
  <c r="AT86" i="1" s="1"/>
  <c r="AU86" i="1" a="1"/>
  <c r="AU86" i="1" s="1"/>
  <c r="AV86" i="1" a="1"/>
  <c r="AV86" i="1" s="1"/>
  <c r="AP86" i="1"/>
  <c r="AQ86" i="1"/>
  <c r="AY86" i="1" a="1"/>
  <c r="AY86" i="1" s="1"/>
  <c r="AY87" i="1" s="1" a="1"/>
  <c r="AY87" i="1" s="1"/>
  <c r="AS86" i="1" a="1"/>
  <c r="AS86" i="1" s="1"/>
  <c r="AS87" i="1" s="1" a="1"/>
  <c r="AS87" i="1" s="1"/>
  <c r="BA85" i="1"/>
  <c r="A87" i="1"/>
  <c r="B87" i="1"/>
  <c r="AU87" i="1" l="1" a="1"/>
  <c r="AU87" i="1" s="1"/>
  <c r="AV87" i="1" a="1"/>
  <c r="AV87" i="1" s="1"/>
  <c r="AZ87" i="1" a="1"/>
  <c r="AZ87" i="1" s="1"/>
  <c r="BA87" i="1" s="1"/>
  <c r="AT87" i="1" a="1"/>
  <c r="AT87" i="1" s="1"/>
  <c r="AP87" i="1"/>
  <c r="AQ87" i="1"/>
  <c r="BA86" i="1"/>
  <c r="A88" i="1"/>
  <c r="AS88" i="1" s="1" a="1"/>
  <c r="AS88" i="1" s="1"/>
  <c r="B88" i="1"/>
  <c r="AY88" i="1" l="1" a="1"/>
  <c r="AY88" i="1" s="1"/>
  <c r="AT88" i="1" a="1"/>
  <c r="AT88" i="1" s="1"/>
  <c r="AV88" i="1" a="1"/>
  <c r="AV88" i="1" s="1"/>
  <c r="AU88" i="1" a="1"/>
  <c r="AU88" i="1" s="1"/>
  <c r="AU89" i="1" s="1" a="1"/>
  <c r="AU89" i="1" s="1"/>
  <c r="AP88" i="1"/>
  <c r="AQ88" i="1"/>
  <c r="AZ88" i="1" a="1"/>
  <c r="AZ88" i="1" s="1"/>
  <c r="AZ89" i="1" s="1" a="1"/>
  <c r="AZ89" i="1" s="1"/>
  <c r="B89" i="1"/>
  <c r="A89" i="1"/>
  <c r="AT89" i="1" l="1" a="1"/>
  <c r="AT89" i="1" s="1"/>
  <c r="AS89" i="1" a="1"/>
  <c r="AS89" i="1" s="1"/>
  <c r="AV89" i="1" a="1"/>
  <c r="AV89" i="1" s="1"/>
  <c r="AY89" i="1" a="1"/>
  <c r="AY89" i="1" s="1"/>
  <c r="AP89" i="1"/>
  <c r="AQ89" i="1"/>
  <c r="B90" i="1"/>
  <c r="BA88" i="1"/>
  <c r="A90" i="1"/>
  <c r="AV90" i="1" l="1" a="1"/>
  <c r="AV90" i="1" s="1"/>
  <c r="AT90" i="1" a="1"/>
  <c r="AT90" i="1" s="1"/>
  <c r="AU90" i="1" a="1"/>
  <c r="AU90" i="1" s="1"/>
  <c r="AY90" i="1" a="1"/>
  <c r="AY90" i="1" s="1"/>
  <c r="AS90" i="1" a="1"/>
  <c r="AS90" i="1" s="1"/>
  <c r="B91" i="1"/>
  <c r="B92" i="1" s="1"/>
  <c r="AP90" i="1"/>
  <c r="AQ90" i="1"/>
  <c r="AZ90" i="1" a="1"/>
  <c r="AZ90" i="1" s="1"/>
  <c r="AZ91" i="1" s="1" a="1"/>
  <c r="AZ91" i="1" s="1"/>
  <c r="BA89" i="1"/>
  <c r="A91" i="1"/>
  <c r="AV91" i="1" l="1" a="1"/>
  <c r="AV91" i="1" s="1"/>
  <c r="AU91" i="1" a="1"/>
  <c r="AU91" i="1" s="1"/>
  <c r="AT91" i="1" a="1"/>
  <c r="AT91" i="1" s="1"/>
  <c r="AQ91" i="1"/>
  <c r="AP91" i="1"/>
  <c r="AS91" i="1" a="1"/>
  <c r="AS91" i="1" s="1"/>
  <c r="AY91" i="1" a="1"/>
  <c r="AY91" i="1" s="1"/>
  <c r="AY92" i="1" s="1" a="1"/>
  <c r="AY92" i="1" s="1"/>
  <c r="BA90" i="1"/>
  <c r="A92" i="1"/>
  <c r="AP92" i="1" s="1"/>
  <c r="AS92" i="1" l="1" a="1"/>
  <c r="AS92" i="1" s="1"/>
  <c r="AT92" i="1" a="1"/>
  <c r="AT92" i="1" s="1"/>
  <c r="AU92" i="1" a="1"/>
  <c r="AU92" i="1" s="1"/>
  <c r="AV92" i="1" a="1"/>
  <c r="AV92" i="1" s="1"/>
  <c r="AQ92" i="1"/>
  <c r="AZ92" i="1" a="1"/>
  <c r="AZ92" i="1" s="1"/>
  <c r="AZ2" i="1" s="1"/>
  <c r="BA91" i="1"/>
  <c r="BA92" i="1" l="1"/>
  <c r="AY2" i="1"/>
  <c r="AM9" i="1" l="1"/>
  <c r="Y7" i="1" l="1"/>
  <c r="AK7" i="1" s="1"/>
  <c r="AH7" i="1" l="1"/>
  <c r="Z7" i="1"/>
  <c r="I7" i="1"/>
  <c r="BF7" i="1" s="1" a="1"/>
  <c r="BF7" i="1" s="1"/>
  <c r="BG7" i="1" l="1"/>
  <c r="C7" i="9" s="1" a="1"/>
  <c r="C7" i="9" s="1"/>
  <c r="BJ7" i="1" l="1" a="1"/>
  <c r="BJ7" i="1" s="1"/>
  <c r="BK7" i="1" s="1" a="1"/>
  <c r="BK7" i="1" s="1"/>
  <c r="BM7" i="1" s="1"/>
  <c r="BL7" i="1" l="1"/>
  <c r="C7" i="5" a="1"/>
  <c r="C7" i="5" s="1"/>
  <c r="D7" i="5" s="1"/>
  <c r="D7" i="9"/>
  <c r="E7" i="9" s="1"/>
  <c r="F7" i="9" s="1"/>
  <c r="C107" i="5" l="1"/>
  <c r="E7" i="5" a="1"/>
  <c r="E7" i="5" s="1"/>
  <c r="F7" i="5"/>
  <c r="A7" i="9"/>
  <c r="G7" i="5" l="1"/>
  <c r="A7" i="5" s="1"/>
  <c r="BN7" i="1" a="1"/>
  <c r="BN7" i="1" l="1"/>
  <c r="BP7" i="1" s="1"/>
  <c r="BH7" i="1" l="1" a="1"/>
  <c r="BH7" i="1" s="1"/>
  <c r="D8" i="1" s="1" a="1"/>
  <c r="D8" i="1" s="1"/>
  <c r="BI7" i="1" a="1"/>
  <c r="BI7" i="1" s="1"/>
  <c r="F8" i="1" s="1" a="1"/>
  <c r="F8" i="1" s="1"/>
  <c r="BE8" i="1" l="1" a="1"/>
  <c r="BE8" i="1" s="1"/>
  <c r="BQ7" i="1"/>
  <c r="BO7" i="1"/>
  <c r="AW8" i="1" l="1"/>
  <c r="BB8" i="1" s="1" a="1"/>
  <c r="BB8" i="1" s="1"/>
  <c r="BD8" i="1" a="1"/>
  <c r="BD8" i="1" s="1"/>
  <c r="H8" i="1"/>
  <c r="CA7" i="1"/>
  <c r="BS7" i="1"/>
  <c r="AE8" i="1" l="1" a="1"/>
  <c r="AE8" i="1" s="1"/>
  <c r="AC8" i="1" a="1"/>
  <c r="AC8" i="1" s="1"/>
  <c r="CC7" i="1" a="1"/>
  <c r="CC7" i="1" s="1"/>
  <c r="CD7" i="1" s="1"/>
  <c r="BT7" i="1" a="1"/>
  <c r="BT7" i="1" s="1"/>
  <c r="BV7" i="1" s="1"/>
  <c r="D107" i="5"/>
  <c r="C107" i="9"/>
  <c r="BU7" i="1"/>
  <c r="AG8" i="1" l="1"/>
  <c r="E107" i="9"/>
  <c r="D107" i="9"/>
  <c r="F107" i="9"/>
  <c r="E107" i="5" a="1"/>
  <c r="E107" i="5" s="1"/>
  <c r="F107" i="5"/>
  <c r="G107" i="5"/>
  <c r="A107" i="9" l="1"/>
  <c r="A107" i="5"/>
  <c r="BW7" i="1" a="1"/>
  <c r="BW7" i="1" l="1"/>
  <c r="BX7" i="1" s="1"/>
  <c r="BY7" i="1" s="1"/>
  <c r="T8" i="1" s="1" a="1"/>
  <c r="T8" i="1" s="1"/>
  <c r="V8" i="1" l="1" a="1"/>
  <c r="V8" i="1" s="1"/>
  <c r="L8" i="1" a="1"/>
  <c r="L8" i="1" s="1"/>
  <c r="U8" i="1" a="1"/>
  <c r="U8" i="1" s="1"/>
  <c r="AO7" i="1"/>
  <c r="M8" i="1" a="1"/>
  <c r="M8" i="1" s="1"/>
  <c r="O8" i="1" a="1"/>
  <c r="O8" i="1" s="1"/>
  <c r="W8" i="1" a="1"/>
  <c r="W8" i="1" s="1"/>
  <c r="Q8" i="1" a="1"/>
  <c r="Q8" i="1" s="1"/>
  <c r="R8" i="1" a="1"/>
  <c r="R8" i="1" s="1"/>
  <c r="P8" i="1" a="1"/>
  <c r="P8" i="1" s="1"/>
  <c r="Y8" i="1" l="1"/>
  <c r="AK8" i="1" l="1"/>
  <c r="R2" i="1" s="1"/>
  <c r="I8" i="1" l="1"/>
  <c r="BF8" i="1" s="1" a="1"/>
  <c r="BF8" i="1" s="1"/>
  <c r="BG8" i="1" s="1"/>
  <c r="BJ8" i="1" s="1" a="1"/>
  <c r="BJ8" i="1" s="1"/>
  <c r="BK8" i="1" s="1" a="1"/>
  <c r="BK8" i="1" s="1"/>
  <c r="BM8" i="1" s="1"/>
  <c r="AH8" i="1"/>
  <c r="Z8" i="1"/>
  <c r="C8" i="9" l="1" a="1"/>
  <c r="C8" i="9" s="1"/>
  <c r="D8" i="9" s="1"/>
  <c r="BL8" i="1"/>
  <c r="C8" i="5" a="1"/>
  <c r="C8" i="5" s="1"/>
  <c r="D8" i="5" s="1"/>
  <c r="E8" i="5" s="1" a="1"/>
  <c r="E8" i="5" s="1"/>
  <c r="F8" i="9" l="1"/>
  <c r="A8" i="9" s="1"/>
  <c r="E8" i="9"/>
  <c r="C108" i="5"/>
  <c r="F8" i="5"/>
  <c r="G8" i="5" s="1"/>
  <c r="A8" i="5" s="1"/>
  <c r="BN8" i="1" a="1"/>
  <c r="BN8" i="1" l="1"/>
  <c r="BP8" i="1" s="1"/>
  <c r="BH8" i="1" l="1" a="1"/>
  <c r="BH8" i="1" s="1"/>
  <c r="D9" i="1" s="1" a="1"/>
  <c r="D9" i="1" s="1"/>
  <c r="BI8" i="1" a="1"/>
  <c r="BI8" i="1" s="1"/>
  <c r="F9" i="1" s="1" a="1"/>
  <c r="F9" i="1" s="1"/>
  <c r="BO8" i="1" l="1"/>
  <c r="BQ8" i="1"/>
  <c r="BE9" i="1" l="1" a="1"/>
  <c r="BE9" i="1" s="1"/>
  <c r="AW9" i="1"/>
  <c r="BB9" i="1" s="1" a="1"/>
  <c r="BB9" i="1" s="1"/>
  <c r="BD9" i="1" a="1"/>
  <c r="BD9" i="1" s="1"/>
  <c r="H9" i="1"/>
  <c r="BS8" i="1"/>
  <c r="CA8" i="1"/>
  <c r="AE9" i="1" l="1" a="1"/>
  <c r="AE9" i="1" s="1"/>
  <c r="AC9" i="1" a="1"/>
  <c r="AC9" i="1" s="1"/>
  <c r="D108" i="5"/>
  <c r="BU8" i="1"/>
  <c r="C108" i="9"/>
  <c r="BT8" i="1" a="1"/>
  <c r="BT8" i="1" s="1"/>
  <c r="BV8" i="1" s="1"/>
  <c r="CC8" i="1" a="1"/>
  <c r="CC8" i="1" s="1"/>
  <c r="CD8" i="1" s="1"/>
  <c r="AG9" i="1" l="1"/>
  <c r="E108" i="9"/>
  <c r="F108" i="9"/>
  <c r="D108" i="9"/>
  <c r="G108" i="5"/>
  <c r="F108" i="5"/>
  <c r="E108" i="5" a="1"/>
  <c r="E108" i="5" s="1"/>
  <c r="A108" i="5" s="1"/>
  <c r="BW8" i="1" a="1"/>
  <c r="A108" i="9" l="1"/>
  <c r="BW8" i="1"/>
  <c r="BX8" i="1" s="1"/>
  <c r="BY8" i="1" s="1"/>
  <c r="T9" i="1" s="1" a="1"/>
  <c r="T9" i="1" s="1"/>
  <c r="U9" i="1" l="1" a="1"/>
  <c r="U9" i="1" s="1"/>
  <c r="P9" i="1" a="1"/>
  <c r="P9" i="1" s="1"/>
  <c r="Q9" i="1" a="1"/>
  <c r="Q9" i="1" s="1"/>
  <c r="M9" i="1" a="1"/>
  <c r="M9" i="1" s="1"/>
  <c r="O9" i="1" a="1"/>
  <c r="O9" i="1" s="1"/>
  <c r="W9" i="1" a="1"/>
  <c r="W9" i="1" s="1"/>
  <c r="L9" i="1" a="1"/>
  <c r="L9" i="1" s="1"/>
  <c r="V9" i="1" a="1"/>
  <c r="V9" i="1" s="1"/>
  <c r="AO8" i="1"/>
  <c r="R9" i="1" a="1"/>
  <c r="R9" i="1" s="1"/>
  <c r="Y9" i="1" l="1"/>
  <c r="AK9" i="1" l="1"/>
  <c r="Z9" i="1" s="1"/>
  <c r="I9" i="1" l="1"/>
  <c r="BF9" i="1" s="1" a="1"/>
  <c r="BF9" i="1" s="1"/>
  <c r="BG9" i="1" s="1"/>
  <c r="C9" i="9" s="1" a="1"/>
  <c r="C9" i="9" s="1"/>
  <c r="AH9" i="1"/>
  <c r="BJ9" i="1" l="1" a="1"/>
  <c r="BJ9" i="1" s="1"/>
  <c r="BK9" i="1" s="1" a="1"/>
  <c r="BK9" i="1" s="1"/>
  <c r="BM9" i="1" s="1"/>
  <c r="D9" i="9"/>
  <c r="BL9" i="1" l="1"/>
  <c r="C9" i="5" a="1"/>
  <c r="C9" i="5" s="1"/>
  <c r="D9" i="5" s="1"/>
  <c r="E9" i="5" s="1" a="1"/>
  <c r="E9" i="5" s="1"/>
  <c r="E9" i="9"/>
  <c r="F9" i="9" s="1"/>
  <c r="A9" i="9" s="1"/>
  <c r="C109" i="5" l="1"/>
  <c r="F9" i="5"/>
  <c r="G9" i="5" s="1"/>
  <c r="A9" i="5" s="1"/>
  <c r="BN9" i="1" a="1"/>
  <c r="BN9" i="1" l="1"/>
  <c r="BP9" i="1" s="1"/>
  <c r="BH9" i="1" l="1" a="1"/>
  <c r="BH9" i="1" s="1"/>
  <c r="D10" i="1" s="1" a="1"/>
  <c r="D10" i="1" s="1"/>
  <c r="BI9" i="1" a="1"/>
  <c r="BI9" i="1" s="1"/>
  <c r="F10" i="1" s="1" a="1"/>
  <c r="F10" i="1" s="1"/>
  <c r="BO9" i="1" l="1"/>
  <c r="BQ9" i="1"/>
  <c r="BE10" i="1" l="1" a="1"/>
  <c r="BE10" i="1" s="1"/>
  <c r="AW10" i="1"/>
  <c r="BB10" i="1" s="1" a="1"/>
  <c r="BB10" i="1" s="1"/>
  <c r="CA9" i="1"/>
  <c r="BS9" i="1"/>
  <c r="BD10" i="1" a="1"/>
  <c r="BD10" i="1" s="1"/>
  <c r="H10" i="1"/>
  <c r="AE10" i="1" l="1" a="1"/>
  <c r="AE10" i="1" s="1"/>
  <c r="AC10" i="1" a="1"/>
  <c r="AC10" i="1" s="1"/>
  <c r="CC9" i="1" a="1"/>
  <c r="CC9" i="1" s="1"/>
  <c r="CD9" i="1" s="1"/>
  <c r="D109" i="5"/>
  <c r="C109" i="9"/>
  <c r="BT9" i="1" a="1"/>
  <c r="BT9" i="1" s="1"/>
  <c r="BV9" i="1" s="1"/>
  <c r="BU9" i="1"/>
  <c r="AG10" i="1" l="1"/>
  <c r="E109" i="9"/>
  <c r="F109" i="9"/>
  <c r="D109" i="9"/>
  <c r="F109" i="5"/>
  <c r="G109" i="5"/>
  <c r="E109" i="5" a="1"/>
  <c r="E109" i="5" s="1"/>
  <c r="A109" i="5" s="1"/>
  <c r="A109" i="9" l="1"/>
  <c r="BW9" i="1" a="1"/>
  <c r="BW9" i="1" l="1"/>
  <c r="BX9" i="1" s="1"/>
  <c r="BY9" i="1" s="1"/>
  <c r="R10" i="1" a="1"/>
  <c r="R10" i="1" s="1"/>
  <c r="Q10" i="1" a="1"/>
  <c r="Q10" i="1" s="1"/>
  <c r="U10" i="1" l="1" a="1"/>
  <c r="U10" i="1" s="1"/>
  <c r="T10" i="1" a="1"/>
  <c r="T10" i="1" s="1"/>
  <c r="P10" i="1" a="1"/>
  <c r="P10" i="1" s="1"/>
  <c r="AO9" i="1"/>
  <c r="O10" i="1" a="1"/>
  <c r="O10" i="1" s="1"/>
  <c r="M10" i="1" a="1"/>
  <c r="M10" i="1" s="1"/>
  <c r="V10" i="1" a="1"/>
  <c r="V10" i="1" s="1"/>
  <c r="L10" i="1" a="1"/>
  <c r="L10" i="1" s="1"/>
  <c r="W10" i="1" a="1"/>
  <c r="W10" i="1" s="1"/>
  <c r="Y10" i="1" l="1"/>
  <c r="AK10" i="1" l="1"/>
  <c r="AM10" i="1" s="1"/>
  <c r="AH10" i="1" l="1"/>
  <c r="Z10" i="1"/>
  <c r="I10" i="1"/>
  <c r="BF10" i="1" s="1" a="1"/>
  <c r="BF10" i="1" s="1"/>
  <c r="BG10" i="1" s="1"/>
  <c r="C10" i="9" s="1" a="1"/>
  <c r="C10" i="9" s="1"/>
  <c r="BJ10" i="1" l="1" a="1"/>
  <c r="BJ10" i="1" s="1"/>
  <c r="BK10" i="1" s="1" a="1"/>
  <c r="BK10" i="1" s="1"/>
  <c r="BM10" i="1" s="1"/>
  <c r="D10" i="9"/>
  <c r="E10" i="9" s="1"/>
  <c r="F10" i="9" s="1"/>
  <c r="C10" i="5" l="1" a="1"/>
  <c r="C10" i="5" s="1"/>
  <c r="D10" i="5" s="1"/>
  <c r="E10" i="5" s="1" a="1"/>
  <c r="E10" i="5" s="1"/>
  <c r="BL10" i="1"/>
  <c r="A10" i="9"/>
  <c r="C110" i="5" l="1"/>
  <c r="F10" i="5"/>
  <c r="G10" i="5" s="1"/>
  <c r="A10" i="5" s="1"/>
  <c r="BN10" i="1" a="1"/>
  <c r="BN10" i="1" l="1"/>
  <c r="BP10" i="1" s="1"/>
  <c r="BH10" i="1" l="1" a="1"/>
  <c r="BH10" i="1" s="1"/>
  <c r="D11" i="1" s="1" a="1"/>
  <c r="D11" i="1" s="1"/>
  <c r="BI10" i="1" a="1"/>
  <c r="BI10" i="1" s="1"/>
  <c r="F11" i="1" s="1" a="1"/>
  <c r="F11" i="1" s="1"/>
  <c r="BQ10" i="1" l="1"/>
  <c r="BO10" i="1"/>
  <c r="BE11" i="1" l="1" a="1"/>
  <c r="BE11" i="1" s="1"/>
  <c r="AW11" i="1"/>
  <c r="BB11" i="1" s="1" a="1"/>
  <c r="BB11" i="1" s="1"/>
  <c r="CA10" i="1"/>
  <c r="BS10" i="1"/>
  <c r="BD11" i="1" a="1"/>
  <c r="BD11" i="1" s="1"/>
  <c r="H11" i="1"/>
  <c r="AC11" i="1" l="1" a="1"/>
  <c r="AC11" i="1" s="1"/>
  <c r="AE11" i="1" a="1"/>
  <c r="AE11" i="1" s="1"/>
  <c r="CC10" i="1" a="1"/>
  <c r="CC10" i="1" s="1"/>
  <c r="CD10" i="1" s="1"/>
  <c r="C110" i="9"/>
  <c r="D110" i="5"/>
  <c r="BT10" i="1" a="1"/>
  <c r="BT10" i="1" s="1"/>
  <c r="BV10" i="1" s="1"/>
  <c r="BU10" i="1" l="1"/>
  <c r="AG11" i="1"/>
  <c r="E110" i="5" a="1"/>
  <c r="E110" i="5" s="1"/>
  <c r="D110" i="9"/>
  <c r="F110" i="9" s="1"/>
  <c r="E110" i="9"/>
  <c r="F110" i="5" l="1"/>
  <c r="G110" i="5"/>
  <c r="A110" i="5" s="1"/>
  <c r="A110" i="9"/>
  <c r="BW10" i="1" a="1"/>
  <c r="BW10" i="1" l="1"/>
  <c r="BX10" i="1" s="1"/>
  <c r="BY10" i="1" s="1"/>
  <c r="U11" i="1" l="1" a="1"/>
  <c r="U11" i="1" s="1"/>
  <c r="T11" i="1" a="1"/>
  <c r="T11" i="1" s="1"/>
  <c r="V11" i="1" a="1"/>
  <c r="V11" i="1" s="1"/>
  <c r="W11" i="1" a="1"/>
  <c r="W11" i="1" s="1"/>
  <c r="O11" i="1" a="1"/>
  <c r="O11" i="1" s="1"/>
  <c r="M11" i="1" a="1"/>
  <c r="M11" i="1" s="1"/>
  <c r="Q11" i="1" a="1"/>
  <c r="Q11" i="1" s="1"/>
  <c r="AO10" i="1"/>
  <c r="P11" i="1" a="1"/>
  <c r="P11" i="1" s="1"/>
  <c r="L11" i="1" a="1"/>
  <c r="L11" i="1" s="1"/>
  <c r="R11" i="1" a="1"/>
  <c r="R11" i="1" s="1"/>
  <c r="Y11" i="1" l="1"/>
  <c r="AK11" i="1" l="1"/>
  <c r="I11" i="1" s="1"/>
  <c r="BF11" i="1" s="1" a="1"/>
  <c r="BF11" i="1" s="1"/>
  <c r="BG11" i="1" s="1"/>
  <c r="C11" i="9" s="1" a="1"/>
  <c r="C11" i="9" s="1"/>
  <c r="AM11" i="1"/>
  <c r="Z11" i="1" l="1"/>
  <c r="AH11" i="1"/>
  <c r="BJ11" i="1" a="1"/>
  <c r="BJ11" i="1" s="1"/>
  <c r="C11" i="5" l="1" a="1"/>
  <c r="C11" i="5" s="1"/>
  <c r="D11" i="5" s="1"/>
  <c r="E11" i="5" s="1" a="1"/>
  <c r="E11" i="5" s="1"/>
  <c r="BK11" i="1" a="1"/>
  <c r="BK11" i="1" s="1"/>
  <c r="BM11" i="1" s="1"/>
  <c r="D11" i="9"/>
  <c r="BL11" i="1" l="1"/>
  <c r="E11" i="9"/>
  <c r="F11" i="9" s="1"/>
  <c r="A11" i="9" s="1"/>
  <c r="C111" i="5"/>
  <c r="F11" i="5"/>
  <c r="G11" i="5" l="1"/>
  <c r="A11" i="5" s="1"/>
  <c r="BN11" i="1" a="1"/>
  <c r="BN11" i="1" l="1"/>
  <c r="BP11" i="1" s="1"/>
  <c r="BH11" i="1" l="1" a="1"/>
  <c r="BH11" i="1" s="1"/>
  <c r="D12" i="1" s="1" a="1"/>
  <c r="D12" i="1" s="1"/>
  <c r="BI11" i="1" a="1"/>
  <c r="BI11" i="1" s="1"/>
  <c r="F12" i="1" s="1" a="1"/>
  <c r="F12" i="1" s="1"/>
  <c r="BO11" i="1" l="1"/>
  <c r="BQ11" i="1"/>
  <c r="BE12" i="1" l="1" a="1"/>
  <c r="BE12" i="1" s="1"/>
  <c r="AW12" i="1"/>
  <c r="BB12" i="1" s="1" a="1"/>
  <c r="BB12" i="1" s="1"/>
  <c r="CA11" i="1"/>
  <c r="BS11" i="1"/>
  <c r="BD12" i="1" a="1"/>
  <c r="BD12" i="1" s="1"/>
  <c r="H12" i="1"/>
  <c r="AE12" i="1" l="1" a="1"/>
  <c r="AE12" i="1" s="1"/>
  <c r="AC12" i="1" a="1"/>
  <c r="AC12" i="1" s="1"/>
  <c r="D111" i="5"/>
  <c r="C111" i="9"/>
  <c r="BT11" i="1" a="1"/>
  <c r="BT11" i="1" s="1"/>
  <c r="BV11" i="1" s="1"/>
  <c r="CC11" i="1" a="1"/>
  <c r="CC11" i="1" s="1"/>
  <c r="CD11" i="1" s="1"/>
  <c r="BU11" i="1" l="1"/>
  <c r="D111" i="9"/>
  <c r="E111" i="9" s="1"/>
  <c r="F111" i="9" s="1"/>
  <c r="E111" i="5" a="1"/>
  <c r="E111" i="5" s="1"/>
  <c r="AG12" i="1"/>
  <c r="F111" i="5" l="1"/>
  <c r="G111" i="5" s="1"/>
  <c r="A111" i="5" s="1"/>
  <c r="A111" i="9"/>
  <c r="BW11" i="1" a="1"/>
  <c r="BW11" i="1" l="1"/>
  <c r="BX11" i="1" s="1"/>
  <c r="BY11" i="1" s="1"/>
  <c r="U12" i="1" l="1" a="1"/>
  <c r="U12" i="1" s="1"/>
  <c r="T12" i="1" a="1"/>
  <c r="T12" i="1" s="1"/>
  <c r="Q12" i="1" a="1"/>
  <c r="Q12" i="1" s="1"/>
  <c r="L12" i="1" a="1"/>
  <c r="L12" i="1" s="1"/>
  <c r="P12" i="1" a="1"/>
  <c r="P12" i="1" s="1"/>
  <c r="V12" i="1" a="1"/>
  <c r="V12" i="1" s="1"/>
  <c r="M12" i="1" a="1"/>
  <c r="M12" i="1" s="1"/>
  <c r="AO11" i="1"/>
  <c r="W12" i="1" a="1"/>
  <c r="W12" i="1" s="1"/>
  <c r="R12" i="1" a="1"/>
  <c r="R12" i="1" s="1"/>
  <c r="O12" i="1" a="1"/>
  <c r="O12" i="1" s="1"/>
  <c r="Y12" i="1" l="1"/>
  <c r="AK12" i="1" l="1"/>
  <c r="AM12" i="1" s="1"/>
  <c r="I12" i="1" l="1"/>
  <c r="BF12" i="1" s="1" a="1"/>
  <c r="BF12" i="1" s="1"/>
  <c r="Z12" i="1"/>
  <c r="AH12" i="1"/>
  <c r="BG12" i="1" l="1"/>
  <c r="C12" i="9" s="1" a="1"/>
  <c r="C12" i="9" s="1"/>
  <c r="BJ12" i="1" l="1" a="1"/>
  <c r="BJ12" i="1" s="1"/>
  <c r="BK12" i="1" s="1" a="1"/>
  <c r="BK12" i="1" s="1"/>
  <c r="BM12" i="1" s="1"/>
  <c r="D12" i="9"/>
  <c r="E12" i="9" s="1"/>
  <c r="C12" i="5" l="1" a="1"/>
  <c r="C12" i="5" s="1"/>
  <c r="D12" i="5" s="1"/>
  <c r="E12" i="5" s="1" a="1"/>
  <c r="E12" i="5" s="1"/>
  <c r="F12" i="9"/>
  <c r="A12" i="9" s="1"/>
  <c r="BL12" i="1"/>
  <c r="C112" i="5" l="1"/>
  <c r="F12" i="5"/>
  <c r="G12" i="5"/>
  <c r="A12" i="5" s="1"/>
  <c r="BN12" i="1" a="1"/>
  <c r="BN12" i="1" l="1"/>
  <c r="BP12" i="1" s="1"/>
  <c r="BH12" i="1" l="1" a="1"/>
  <c r="BH12" i="1" s="1"/>
  <c r="D13" i="1" s="1" a="1"/>
  <c r="D13" i="1" s="1"/>
  <c r="BI12" i="1" a="1"/>
  <c r="BI12" i="1" s="1"/>
  <c r="F13" i="1" s="1" a="1"/>
  <c r="F13" i="1" s="1"/>
  <c r="BE13" i="1" l="1" a="1"/>
  <c r="BE13" i="1" s="1"/>
  <c r="BQ12" i="1"/>
  <c r="BO12" i="1"/>
  <c r="AW13" i="1" l="1"/>
  <c r="BB13" i="1" s="1" a="1"/>
  <c r="BB13" i="1" s="1"/>
  <c r="CA12" i="1"/>
  <c r="BS12" i="1"/>
  <c r="BD13" i="1" a="1"/>
  <c r="BD13" i="1" s="1"/>
  <c r="H13" i="1"/>
  <c r="AC13" i="1" l="1" a="1"/>
  <c r="AC13" i="1" s="1"/>
  <c r="AE13" i="1" a="1"/>
  <c r="AE13" i="1" s="1"/>
  <c r="CC12" i="1" a="1"/>
  <c r="CC12" i="1" s="1"/>
  <c r="CD12" i="1" s="1"/>
  <c r="BT12" i="1" a="1"/>
  <c r="BT12" i="1" s="1"/>
  <c r="BV12" i="1" s="1"/>
  <c r="C112" i="9"/>
  <c r="D112" i="5"/>
  <c r="BU12" i="1" l="1"/>
  <c r="D112" i="9"/>
  <c r="E112" i="5" a="1"/>
  <c r="E112" i="5" s="1"/>
  <c r="AG13" i="1"/>
  <c r="F112" i="5" l="1"/>
  <c r="E112" i="9"/>
  <c r="F112" i="9" s="1"/>
  <c r="A112" i="9" s="1"/>
  <c r="G112" i="5"/>
  <c r="A112" i="5" s="1"/>
  <c r="BW12" i="1" a="1"/>
  <c r="BW12" i="1" l="1"/>
  <c r="BX12" i="1" s="1"/>
  <c r="BY12" i="1" s="1"/>
  <c r="U13" i="1" s="1" a="1"/>
  <c r="U13" i="1" s="1"/>
  <c r="P13" i="1" a="1"/>
  <c r="P13" i="1" s="1"/>
  <c r="R13" i="1" a="1"/>
  <c r="R13" i="1" s="1"/>
  <c r="O13" i="1" l="1" a="1"/>
  <c r="O13" i="1" s="1"/>
  <c r="V13" i="1" a="1"/>
  <c r="V13" i="1" s="1"/>
  <c r="M13" i="1" a="1"/>
  <c r="M13" i="1" s="1"/>
  <c r="T13" i="1" a="1"/>
  <c r="T13" i="1" s="1"/>
  <c r="L13" i="1" a="1"/>
  <c r="L13" i="1" s="1"/>
  <c r="W13" i="1" a="1"/>
  <c r="W13" i="1" s="1"/>
  <c r="AO12" i="1"/>
  <c r="Q13" i="1" a="1"/>
  <c r="Q13" i="1" s="1"/>
  <c r="Y13" i="1" l="1"/>
  <c r="AK13" i="1" s="1"/>
  <c r="AM13" i="1" s="1"/>
  <c r="AM5" i="1" s="1"/>
  <c r="AH13" i="1" l="1"/>
  <c r="Z13" i="1"/>
  <c r="I13" i="1"/>
  <c r="BF13" i="1" s="1" a="1"/>
  <c r="BF13" i="1" s="1"/>
  <c r="BG13" i="1" l="1"/>
  <c r="C13" i="9" s="1" a="1"/>
  <c r="C13" i="9" s="1"/>
  <c r="BJ13" i="1" l="1" a="1"/>
  <c r="BJ13" i="1" s="1"/>
  <c r="C13" i="5" l="1" a="1"/>
  <c r="C13" i="5" s="1"/>
  <c r="D13" i="5" s="1"/>
  <c r="E13" i="5" s="1" a="1"/>
  <c r="E13" i="5" s="1"/>
  <c r="BK13" i="1" a="1"/>
  <c r="BK13" i="1" s="1"/>
  <c r="BM13" i="1" s="1"/>
  <c r="D13" i="9"/>
  <c r="E13" i="9" s="1"/>
  <c r="F13" i="9" s="1"/>
  <c r="BL13" i="1" l="1"/>
  <c r="A13" i="9"/>
  <c r="C113" i="5"/>
  <c r="F13" i="5"/>
  <c r="G13" i="5" l="1"/>
  <c r="A13" i="5" s="1"/>
  <c r="BN13" i="1" a="1"/>
  <c r="BN13" i="1" l="1"/>
  <c r="BP13" i="1" s="1"/>
  <c r="BH13" i="1" l="1" a="1"/>
  <c r="BH13" i="1" s="1"/>
  <c r="D14" i="1" s="1" a="1"/>
  <c r="D14" i="1" s="1"/>
  <c r="BI13" i="1" a="1"/>
  <c r="BI13" i="1" s="1"/>
  <c r="F14" i="1" s="1" a="1"/>
  <c r="F14" i="1" s="1"/>
  <c r="BQ13" i="1" l="1"/>
  <c r="BO13" i="1"/>
  <c r="BE14" i="1" l="1" a="1"/>
  <c r="BE14" i="1" s="1"/>
  <c r="AW14" i="1"/>
  <c r="BB14" i="1" s="1" a="1"/>
  <c r="BB14" i="1" s="1"/>
  <c r="BD14" i="1" a="1"/>
  <c r="BD14" i="1" s="1"/>
  <c r="H14" i="1"/>
  <c r="CA13" i="1"/>
  <c r="BS13" i="1"/>
  <c r="BT13" i="1" l="1" a="1"/>
  <c r="BT13" i="1" s="1"/>
  <c r="BV13" i="1" s="1"/>
  <c r="D113" i="5"/>
  <c r="C113" i="9"/>
  <c r="CC13" i="1" a="1"/>
  <c r="CC13" i="1" s="1"/>
  <c r="CD13" i="1" s="1"/>
  <c r="AE14" i="1" a="1"/>
  <c r="AE14" i="1" s="1"/>
  <c r="AC14" i="1" a="1"/>
  <c r="AC14" i="1" s="1"/>
  <c r="BU13" i="1" l="1"/>
  <c r="AG14" i="1"/>
  <c r="D113" i="9"/>
  <c r="E113" i="9"/>
  <c r="F113" i="9" s="1"/>
  <c r="E113" i="5" a="1"/>
  <c r="E113" i="5" s="1"/>
  <c r="F113" i="5" l="1"/>
  <c r="G113" i="5"/>
  <c r="A113" i="5" s="1"/>
  <c r="A113" i="9"/>
  <c r="BW13" i="1" a="1"/>
  <c r="BW13" i="1" l="1"/>
  <c r="BX13" i="1" s="1"/>
  <c r="BY13" i="1" s="1"/>
  <c r="U14" i="1" s="1" a="1"/>
  <c r="U14" i="1" s="1"/>
  <c r="R14" i="1" a="1"/>
  <c r="R14" i="1" s="1"/>
  <c r="Q14" i="1" a="1"/>
  <c r="Q14" i="1" s="1"/>
  <c r="O14" i="1" a="1"/>
  <c r="O14" i="1" s="1"/>
  <c r="M14" i="1" l="1" a="1"/>
  <c r="M14" i="1" s="1"/>
  <c r="T14" i="1" a="1"/>
  <c r="T14" i="1" s="1"/>
  <c r="AO13" i="1"/>
  <c r="L14" i="1" a="1"/>
  <c r="L14" i="1" s="1"/>
  <c r="P14" i="1" a="1"/>
  <c r="P14" i="1" s="1"/>
  <c r="W14" i="1" a="1"/>
  <c r="W14" i="1" s="1"/>
  <c r="V14" i="1" a="1"/>
  <c r="V14" i="1" s="1"/>
  <c r="Y14" i="1" l="1"/>
  <c r="AK14" i="1" s="1"/>
  <c r="AH14" i="1" l="1"/>
  <c r="Z14" i="1"/>
  <c r="I14" i="1"/>
  <c r="BF14" i="1" s="1" a="1"/>
  <c r="BF14" i="1" s="1"/>
  <c r="BG14" i="1" l="1"/>
  <c r="C14" i="9" s="1" a="1"/>
  <c r="C14" i="9" s="1"/>
  <c r="BJ14" i="1" l="1" a="1"/>
  <c r="BJ14" i="1" s="1"/>
  <c r="C14" i="5" l="1" a="1"/>
  <c r="C14" i="5" s="1"/>
  <c r="D14" i="5" s="1"/>
  <c r="E14" i="5" s="1" a="1"/>
  <c r="E14" i="5" s="1"/>
  <c r="BK14" i="1" a="1"/>
  <c r="BK14" i="1" s="1"/>
  <c r="BM14" i="1" s="1"/>
  <c r="D14" i="9"/>
  <c r="E14" i="9" s="1"/>
  <c r="F14" i="9" s="1"/>
  <c r="A14" i="9" l="1"/>
  <c r="C114" i="5"/>
  <c r="BL14" i="1"/>
  <c r="F14" i="5" l="1"/>
  <c r="G14" i="5" s="1"/>
  <c r="A14" i="5" s="1"/>
  <c r="BN14" i="1" a="1"/>
  <c r="BN14" i="1" l="1"/>
  <c r="BP14" i="1" s="1"/>
  <c r="BH14" i="1" l="1" a="1"/>
  <c r="BH14" i="1" s="1"/>
  <c r="D15" i="1" s="1" a="1"/>
  <c r="D15" i="1" s="1"/>
  <c r="BI14" i="1" a="1"/>
  <c r="BI14" i="1" s="1"/>
  <c r="F15" i="1" s="1" a="1"/>
  <c r="F15" i="1" s="1"/>
  <c r="BQ14" i="1" l="1"/>
  <c r="BO14" i="1"/>
  <c r="BE15" i="1" a="1"/>
  <c r="BE15" i="1" s="1"/>
  <c r="AW15" i="1" l="1"/>
  <c r="BB15" i="1" s="1" a="1"/>
  <c r="BB15" i="1" s="1"/>
  <c r="BD15" i="1" a="1"/>
  <c r="BD15" i="1" s="1"/>
  <c r="H15" i="1"/>
  <c r="CA14" i="1"/>
  <c r="BS14" i="1"/>
  <c r="C114" i="9" l="1"/>
  <c r="D114" i="5"/>
  <c r="BT14" i="1" a="1"/>
  <c r="BT14" i="1" s="1"/>
  <c r="BV14" i="1" s="1"/>
  <c r="CC14" i="1" a="1"/>
  <c r="CC14" i="1" s="1"/>
  <c r="CD14" i="1" s="1"/>
  <c r="AE15" i="1" a="1"/>
  <c r="AE15" i="1" s="1"/>
  <c r="AC15" i="1" a="1"/>
  <c r="AC15" i="1" s="1"/>
  <c r="BU14" i="1" l="1"/>
  <c r="AG15" i="1"/>
  <c r="E114" i="5" a="1"/>
  <c r="E114" i="5" s="1"/>
  <c r="D114" i="9"/>
  <c r="F114" i="9" s="1"/>
  <c r="E114" i="9"/>
  <c r="F114" i="5" l="1"/>
  <c r="G114" i="5" s="1"/>
  <c r="A114" i="5" s="1"/>
  <c r="A114" i="9"/>
  <c r="BW14" i="1" a="1"/>
  <c r="BW14" i="1" l="1"/>
  <c r="BX14" i="1" s="1"/>
  <c r="BY14" i="1" s="1"/>
  <c r="U15" i="1" s="1" a="1"/>
  <c r="U15" i="1" s="1"/>
  <c r="O15" i="1" a="1"/>
  <c r="O15" i="1" s="1"/>
  <c r="V15" i="1" l="1" a="1"/>
  <c r="V15" i="1" s="1"/>
  <c r="M15" i="1" a="1"/>
  <c r="M15" i="1" s="1"/>
  <c r="Q15" i="1" a="1"/>
  <c r="Q15" i="1" s="1"/>
  <c r="L15" i="1" a="1"/>
  <c r="L15" i="1" s="1"/>
  <c r="P15" i="1" a="1"/>
  <c r="P15" i="1" s="1"/>
  <c r="T15" i="1" a="1"/>
  <c r="T15" i="1" s="1"/>
  <c r="AO14" i="1"/>
  <c r="R15" i="1" a="1"/>
  <c r="R15" i="1" s="1"/>
  <c r="W15" i="1" a="1"/>
  <c r="W15" i="1" s="1"/>
  <c r="Y15" i="1" l="1"/>
  <c r="AK15" i="1" s="1"/>
  <c r="Z15" i="1" l="1"/>
  <c r="AH15" i="1"/>
  <c r="I15" i="1"/>
  <c r="BF15" i="1" s="1" a="1"/>
  <c r="BF15" i="1" s="1"/>
  <c r="BG15" i="1" l="1"/>
  <c r="C15" i="9" s="1" a="1"/>
  <c r="C15" i="9" s="1"/>
  <c r="BJ15" i="1" l="1" a="1"/>
  <c r="BJ15" i="1" s="1"/>
  <c r="BK15" i="1" l="1" a="1"/>
  <c r="BK15" i="1" s="1"/>
  <c r="BM15" i="1" s="1"/>
  <c r="C15" i="5" a="1"/>
  <c r="C15" i="5" s="1"/>
  <c r="D15" i="5" s="1"/>
  <c r="E15" i="5" s="1" a="1"/>
  <c r="E15" i="5" s="1"/>
  <c r="D15" i="9"/>
  <c r="E15" i="9" l="1"/>
  <c r="F15" i="9" s="1"/>
  <c r="A15" i="9" s="1"/>
  <c r="C115" i="5"/>
  <c r="F15" i="5"/>
  <c r="BL15" i="1"/>
  <c r="G15" i="5" l="1"/>
  <c r="A15" i="5" s="1"/>
  <c r="BN15" i="1" a="1"/>
  <c r="BN15" i="1" l="1"/>
  <c r="BP15" i="1" s="1"/>
  <c r="BH15" i="1" l="1" a="1"/>
  <c r="BH15" i="1" s="1"/>
  <c r="D16" i="1" s="1" a="1"/>
  <c r="D16" i="1" s="1"/>
  <c r="BI15" i="1" a="1"/>
  <c r="BI15" i="1" s="1"/>
  <c r="F16" i="1" s="1" a="1"/>
  <c r="F16" i="1" s="1"/>
  <c r="BE16" i="1" l="1" a="1"/>
  <c r="BE16" i="1" s="1"/>
  <c r="BQ15" i="1"/>
  <c r="BO15" i="1"/>
  <c r="AW16" i="1" l="1"/>
  <c r="BB16" i="1" s="1" a="1"/>
  <c r="BB16" i="1" s="1"/>
  <c r="BD16" i="1" a="1"/>
  <c r="BD16" i="1" s="1"/>
  <c r="H16" i="1"/>
  <c r="BS15" i="1"/>
  <c r="CA15" i="1"/>
  <c r="C115" i="9" l="1"/>
  <c r="BT15" i="1" a="1"/>
  <c r="BT15" i="1" s="1"/>
  <c r="BV15" i="1" s="1"/>
  <c r="D115" i="5"/>
  <c r="CC15" i="1" a="1"/>
  <c r="CC15" i="1" s="1"/>
  <c r="CD15" i="1" s="1"/>
  <c r="AC16" i="1" a="1"/>
  <c r="AC16" i="1" s="1"/>
  <c r="AE16" i="1" a="1"/>
  <c r="AE16" i="1" s="1"/>
  <c r="BU15" i="1" l="1"/>
  <c r="AG16" i="1"/>
  <c r="D115" i="9"/>
  <c r="E115" i="9" s="1"/>
  <c r="E115" i="5" a="1"/>
  <c r="E115" i="5" s="1"/>
  <c r="F115" i="5" l="1"/>
  <c r="F115" i="9"/>
  <c r="A115" i="9" s="1"/>
  <c r="G115" i="5"/>
  <c r="A115" i="5" s="1"/>
  <c r="BW15" i="1" a="1"/>
  <c r="BW15" i="1" l="1"/>
  <c r="BX15" i="1" s="1"/>
  <c r="BY15" i="1" s="1"/>
  <c r="P16" i="1" s="1" a="1"/>
  <c r="P16" i="1" s="1"/>
  <c r="O16" i="1" a="1"/>
  <c r="O16" i="1" s="1"/>
  <c r="AO15" i="1" l="1"/>
  <c r="L16" i="1" a="1"/>
  <c r="L16" i="1" s="1"/>
  <c r="M16" i="1" a="1"/>
  <c r="M16" i="1" s="1"/>
  <c r="U16" i="1" a="1"/>
  <c r="U16" i="1" s="1"/>
  <c r="Q16" i="1" a="1"/>
  <c r="Q16" i="1" s="1"/>
  <c r="T16" i="1" a="1"/>
  <c r="T16" i="1" s="1"/>
  <c r="R16" i="1" a="1"/>
  <c r="R16" i="1" s="1"/>
  <c r="W16" i="1" a="1"/>
  <c r="W16" i="1" s="1"/>
  <c r="V16" i="1" a="1"/>
  <c r="V16" i="1" s="1"/>
  <c r="Y16" i="1" l="1"/>
  <c r="AK16" i="1" s="1"/>
  <c r="I16" i="1" l="1"/>
  <c r="BF16" i="1" s="1" a="1"/>
  <c r="BF16" i="1" s="1"/>
  <c r="Z16" i="1"/>
  <c r="AH16" i="1"/>
  <c r="BG16" i="1" l="1"/>
  <c r="C16" i="9" s="1" a="1"/>
  <c r="C16" i="9" s="1"/>
  <c r="BJ16" i="1" l="1" a="1"/>
  <c r="BJ16" i="1" s="1"/>
  <c r="C16" i="5" l="1" a="1"/>
  <c r="C16" i="5" s="1"/>
  <c r="D16" i="5" s="1"/>
  <c r="E16" i="5" s="1" a="1"/>
  <c r="E16" i="5" s="1"/>
  <c r="BK16" i="1" a="1"/>
  <c r="BK16" i="1" s="1"/>
  <c r="BM16" i="1" s="1"/>
  <c r="D16" i="9"/>
  <c r="E16" i="9" l="1"/>
  <c r="F16" i="9" s="1"/>
  <c r="A16" i="9" s="1"/>
  <c r="BL16" i="1"/>
  <c r="C116" i="5"/>
  <c r="F16" i="5" l="1"/>
  <c r="G16" i="5" s="1"/>
  <c r="A16" i="5" s="1"/>
  <c r="BN16" i="1" a="1"/>
  <c r="BN16" i="1" l="1"/>
  <c r="BP16" i="1" s="1"/>
  <c r="BH16" i="1" l="1" a="1"/>
  <c r="BH16" i="1" s="1"/>
  <c r="D17" i="1" s="1" a="1"/>
  <c r="D17" i="1" s="1"/>
  <c r="BI16" i="1" a="1"/>
  <c r="BI16" i="1" s="1"/>
  <c r="F17" i="1" s="1" a="1"/>
  <c r="F17" i="1" s="1"/>
  <c r="BO16" i="1" l="1"/>
  <c r="BQ16" i="1"/>
  <c r="BE17" i="1" a="1"/>
  <c r="BE17" i="1" s="1"/>
  <c r="AW17" i="1" l="1"/>
  <c r="BB17" i="1" s="1" a="1"/>
  <c r="BB17" i="1" s="1"/>
  <c r="CA16" i="1"/>
  <c r="BS16" i="1"/>
  <c r="BD17" i="1" a="1"/>
  <c r="BD17" i="1" s="1"/>
  <c r="H17" i="1"/>
  <c r="AE17" i="1" l="1" a="1"/>
  <c r="AE17" i="1" s="1"/>
  <c r="AC17" i="1" a="1"/>
  <c r="AC17" i="1" s="1"/>
  <c r="CC16" i="1" a="1"/>
  <c r="CC16" i="1" s="1"/>
  <c r="CD16" i="1" s="1"/>
  <c r="BT16" i="1" a="1"/>
  <c r="BT16" i="1" s="1"/>
  <c r="BV16" i="1" s="1"/>
  <c r="D116" i="5"/>
  <c r="C116" i="9"/>
  <c r="BU16" i="1" l="1"/>
  <c r="AG17" i="1"/>
  <c r="D116" i="9"/>
  <c r="E116" i="9" s="1"/>
  <c r="E116" i="5" a="1"/>
  <c r="E116" i="5" s="1"/>
  <c r="F116" i="5" s="1"/>
  <c r="G116" i="5" l="1"/>
  <c r="A116" i="5" s="1"/>
  <c r="F116" i="9"/>
  <c r="A116" i="9" s="1"/>
  <c r="BW16" i="1" a="1"/>
  <c r="BW16" i="1" l="1"/>
  <c r="BX16" i="1" s="1"/>
  <c r="BY16" i="1" s="1"/>
  <c r="U17" i="1" s="1" a="1"/>
  <c r="U17" i="1" s="1"/>
  <c r="O17" i="1" l="1" a="1"/>
  <c r="O17" i="1" s="1"/>
  <c r="P17" i="1" a="1"/>
  <c r="P17" i="1" s="1"/>
  <c r="R17" i="1" a="1"/>
  <c r="R17" i="1" s="1"/>
  <c r="M17" i="1" a="1"/>
  <c r="M17" i="1" s="1"/>
  <c r="V17" i="1" a="1"/>
  <c r="V17" i="1" s="1"/>
  <c r="W17" i="1" a="1"/>
  <c r="W17" i="1" s="1"/>
  <c r="L17" i="1" a="1"/>
  <c r="L17" i="1" s="1"/>
  <c r="AO16" i="1"/>
  <c r="Q17" i="1" a="1"/>
  <c r="Q17" i="1" s="1"/>
  <c r="T17" i="1" a="1"/>
  <c r="T17" i="1" s="1"/>
  <c r="Y17" i="1" l="1"/>
  <c r="AK17" i="1" s="1"/>
  <c r="AH17" i="1" l="1"/>
  <c r="I17" i="1"/>
  <c r="BF17" i="1" s="1" a="1"/>
  <c r="BF17" i="1" s="1"/>
  <c r="Z17" i="1"/>
  <c r="BG17" i="1" l="1"/>
  <c r="C17" i="9" s="1" a="1"/>
  <c r="C17" i="9" s="1"/>
  <c r="BJ17" i="1" l="1" a="1"/>
  <c r="BJ17" i="1" s="1"/>
  <c r="BK17" i="1" l="1" a="1"/>
  <c r="BK17" i="1" s="1"/>
  <c r="BM17" i="1" s="1"/>
  <c r="C17" i="5" a="1"/>
  <c r="C17" i="5" s="1"/>
  <c r="D17" i="5" s="1"/>
  <c r="E17" i="5" s="1" a="1"/>
  <c r="E17" i="5" s="1"/>
  <c r="BL17" i="1"/>
  <c r="D17" i="9"/>
  <c r="E17" i="9" s="1"/>
  <c r="F17" i="9" l="1"/>
  <c r="A17" i="9" s="1"/>
  <c r="F17" i="5"/>
  <c r="C117" i="5"/>
  <c r="G17" i="5" l="1"/>
  <c r="A17" i="5" s="1"/>
  <c r="BN17" i="1" a="1"/>
  <c r="BN17" i="1" l="1"/>
  <c r="BP17" i="1" s="1"/>
  <c r="BH17" i="1" l="1" a="1"/>
  <c r="BH17" i="1" s="1"/>
  <c r="D18" i="1" s="1" a="1"/>
  <c r="D18" i="1" s="1"/>
  <c r="BI17" i="1" a="1"/>
  <c r="BI17" i="1" s="1"/>
  <c r="F18" i="1" s="1" a="1"/>
  <c r="F18" i="1" s="1"/>
  <c r="BE18" i="1" l="1" a="1"/>
  <c r="BE18" i="1" s="1"/>
  <c r="BO17" i="1"/>
  <c r="BQ17" i="1"/>
  <c r="AW18" i="1" l="1"/>
  <c r="BB18" i="1" s="1" a="1"/>
  <c r="BB18" i="1" s="1"/>
  <c r="CA17" i="1"/>
  <c r="BS17" i="1"/>
  <c r="BD18" i="1" a="1"/>
  <c r="BD18" i="1" s="1"/>
  <c r="H18" i="1"/>
  <c r="C117" i="9" l="1"/>
  <c r="D117" i="5"/>
  <c r="BT17" i="1" a="1"/>
  <c r="BT17" i="1" s="1"/>
  <c r="BV17" i="1" s="1"/>
  <c r="CC17" i="1" a="1"/>
  <c r="CC17" i="1" s="1"/>
  <c r="CD17" i="1" s="1"/>
  <c r="AC18" i="1" a="1"/>
  <c r="AC18" i="1" s="1"/>
  <c r="AE18" i="1" a="1"/>
  <c r="AE18" i="1" s="1"/>
  <c r="BU17" i="1" l="1"/>
  <c r="AG18" i="1"/>
  <c r="E117" i="5" a="1"/>
  <c r="E117" i="5" s="1"/>
  <c r="D117" i="9"/>
  <c r="F117" i="9"/>
  <c r="E117" i="9"/>
  <c r="F117" i="5" l="1"/>
  <c r="G117" i="5" s="1"/>
  <c r="A117" i="5" s="1"/>
  <c r="A117" i="9"/>
  <c r="BW17" i="1" a="1"/>
  <c r="BW17" i="1" l="1"/>
  <c r="BX17" i="1" s="1"/>
  <c r="BY17" i="1" s="1"/>
  <c r="U18" i="1" s="1" a="1"/>
  <c r="U18" i="1" s="1"/>
  <c r="O18" i="1" l="1" a="1"/>
  <c r="O18" i="1" s="1"/>
  <c r="R18" i="1" a="1"/>
  <c r="R18" i="1" s="1"/>
  <c r="Q18" i="1" a="1"/>
  <c r="Q18" i="1" s="1"/>
  <c r="L18" i="1" a="1"/>
  <c r="L18" i="1" s="1"/>
  <c r="P18" i="1" a="1"/>
  <c r="P18" i="1" s="1"/>
  <c r="T18" i="1" a="1"/>
  <c r="T18" i="1" s="1"/>
  <c r="V18" i="1" a="1"/>
  <c r="V18" i="1" s="1"/>
  <c r="M18" i="1" a="1"/>
  <c r="M18" i="1" s="1"/>
  <c r="AO17" i="1"/>
  <c r="W18" i="1" a="1"/>
  <c r="W18" i="1" s="1"/>
  <c r="Y18" i="1" l="1"/>
  <c r="AK18" i="1" l="1"/>
  <c r="Z18" i="1" s="1"/>
  <c r="AH18" i="1" l="1"/>
  <c r="I18" i="1"/>
  <c r="BF18" i="1" s="1" a="1"/>
  <c r="BF18" i="1" s="1"/>
  <c r="BG18" i="1" l="1"/>
  <c r="C18" i="9" s="1" a="1"/>
  <c r="C18" i="9" s="1"/>
  <c r="BJ18" i="1" l="1" a="1"/>
  <c r="BJ18" i="1" s="1"/>
  <c r="C18" i="5" s="1" a="1"/>
  <c r="C18" i="5" s="1"/>
  <c r="D18" i="9"/>
  <c r="BK18" i="1" l="1" a="1"/>
  <c r="BK18" i="1" s="1"/>
  <c r="D18" i="5"/>
  <c r="E18" i="9"/>
  <c r="F18" i="9" s="1"/>
  <c r="A18" i="9" s="1"/>
  <c r="BL18" i="1"/>
  <c r="BM18" i="1" l="1"/>
  <c r="C118" i="5"/>
  <c r="E18" i="5" a="1"/>
  <c r="E18" i="5" s="1"/>
  <c r="F18" i="5" s="1"/>
  <c r="G18" i="5" l="1"/>
  <c r="A18" i="5" s="1"/>
  <c r="BN18" i="1" a="1"/>
  <c r="BN18" i="1" l="1"/>
  <c r="BP18" i="1" s="1"/>
  <c r="BH18" i="1" l="1" a="1"/>
  <c r="BH18" i="1" s="1"/>
  <c r="D19" i="1" s="1" a="1"/>
  <c r="D19" i="1" s="1"/>
  <c r="BI18" i="1" a="1"/>
  <c r="BI18" i="1" s="1"/>
  <c r="F19" i="1" s="1" a="1"/>
  <c r="F19" i="1" s="1"/>
  <c r="BE19" i="1" l="1" a="1"/>
  <c r="BE19" i="1" s="1"/>
  <c r="BO18" i="1"/>
  <c r="BQ18" i="1"/>
  <c r="BS18" i="1" s="1"/>
  <c r="AW19" i="1"/>
  <c r="BB19" i="1" s="1" a="1"/>
  <c r="BB19" i="1" s="1"/>
  <c r="BD19" i="1" a="1"/>
  <c r="BD19" i="1" s="1"/>
  <c r="H19" i="1"/>
  <c r="CA18" i="1" l="1"/>
  <c r="CC18" i="1" s="1" a="1"/>
  <c r="CC18" i="1" s="1"/>
  <c r="CD18" i="1" s="1"/>
  <c r="D118" i="5"/>
  <c r="C118" i="9"/>
  <c r="BT18" i="1" a="1"/>
  <c r="BT18" i="1" s="1"/>
  <c r="BV18" i="1" s="1"/>
  <c r="AE19" i="1" a="1"/>
  <c r="AE19" i="1" s="1"/>
  <c r="AC19" i="1" l="1" a="1"/>
  <c r="AC19" i="1" s="1"/>
  <c r="AG19" i="1" s="1"/>
  <c r="BU18" i="1"/>
  <c r="D118" i="9"/>
  <c r="E118" i="9" s="1"/>
  <c r="E118" i="5" a="1"/>
  <c r="E118" i="5" s="1"/>
  <c r="F118" i="9" l="1"/>
  <c r="A118" i="9" s="1"/>
  <c r="F118" i="5"/>
  <c r="G118" i="5" s="1"/>
  <c r="A118" i="5" s="1"/>
  <c r="BW18" i="1" a="1"/>
  <c r="BW18" i="1" l="1"/>
  <c r="BX18" i="1" s="1"/>
  <c r="BY18" i="1" s="1"/>
  <c r="U19" i="1" s="1" a="1"/>
  <c r="U19" i="1" s="1"/>
  <c r="O19" i="1" l="1" a="1"/>
  <c r="O19" i="1" s="1"/>
  <c r="W19" i="1" a="1"/>
  <c r="W19" i="1" s="1"/>
  <c r="P19" i="1" a="1"/>
  <c r="P19" i="1" s="1"/>
  <c r="M19" i="1" a="1"/>
  <c r="M19" i="1" s="1"/>
  <c r="L19" i="1" a="1"/>
  <c r="L19" i="1" s="1"/>
  <c r="R19" i="1" a="1"/>
  <c r="R19" i="1" s="1"/>
  <c r="Q19" i="1" a="1"/>
  <c r="Q19" i="1" s="1"/>
  <c r="AO18" i="1"/>
  <c r="T19" i="1" a="1"/>
  <c r="T19" i="1" s="1"/>
  <c r="V19" i="1" a="1"/>
  <c r="V19" i="1" s="1"/>
  <c r="Y19" i="1" l="1"/>
  <c r="AK19" i="1" s="1"/>
  <c r="AH19" i="1" l="1"/>
  <c r="Z19" i="1"/>
  <c r="I19" i="1"/>
  <c r="BF19" i="1" s="1" a="1"/>
  <c r="BF19" i="1" s="1"/>
  <c r="BG19" i="1" l="1"/>
  <c r="C19" i="9" s="1" a="1"/>
  <c r="C19" i="9" s="1"/>
  <c r="BJ19" i="1" l="1" a="1"/>
  <c r="BJ19" i="1" s="1"/>
  <c r="BK19" i="1" l="1" a="1"/>
  <c r="BK19" i="1" s="1"/>
  <c r="C19" i="5" a="1"/>
  <c r="C19" i="5" s="1"/>
  <c r="D19" i="9"/>
  <c r="D19" i="5" l="1"/>
  <c r="E19" i="5" s="1" a="1"/>
  <c r="E19" i="5" s="1"/>
  <c r="E19" i="9"/>
  <c r="F19" i="9" s="1"/>
  <c r="A19" i="9" s="1"/>
  <c r="BL19" i="1"/>
  <c r="BM19" i="1" s="1"/>
  <c r="C119" i="5" l="1"/>
  <c r="F19" i="5"/>
  <c r="G19" i="5" s="1"/>
  <c r="A19" i="5" s="1"/>
  <c r="BN19" i="1" a="1"/>
  <c r="BN19" i="1" l="1"/>
  <c r="BP19" i="1" s="1"/>
  <c r="BH19" i="1" l="1" a="1"/>
  <c r="BH19" i="1" s="1"/>
  <c r="D20" i="1" s="1" a="1"/>
  <c r="D20" i="1" s="1"/>
  <c r="BI19" i="1" a="1"/>
  <c r="BI19" i="1" s="1"/>
  <c r="F20" i="1" s="1" a="1"/>
  <c r="F20" i="1" s="1"/>
  <c r="BE20" i="1" l="1" a="1"/>
  <c r="BE20" i="1" s="1"/>
  <c r="BQ19" i="1"/>
  <c r="BO19" i="1"/>
  <c r="AW20" i="1" l="1"/>
  <c r="BB20" i="1" s="1" a="1"/>
  <c r="BB20" i="1" s="1"/>
  <c r="CA19" i="1"/>
  <c r="BS19" i="1"/>
  <c r="BD20" i="1" a="1"/>
  <c r="BD20" i="1" s="1"/>
  <c r="H20" i="1"/>
  <c r="C119" i="9" l="1"/>
  <c r="BT19" i="1" a="1"/>
  <c r="BT19" i="1" s="1"/>
  <c r="BV19" i="1" s="1"/>
  <c r="D119" i="5"/>
  <c r="CC19" i="1" a="1"/>
  <c r="CC19" i="1" s="1"/>
  <c r="CD19" i="1" s="1"/>
  <c r="AE20" i="1" a="1"/>
  <c r="AE20" i="1" s="1"/>
  <c r="AC20" i="1" a="1"/>
  <c r="AC20" i="1" s="1"/>
  <c r="BU19" i="1" l="1"/>
  <c r="AG20" i="1"/>
  <c r="D119" i="9"/>
  <c r="E119" i="9" s="1"/>
  <c r="F119" i="9" s="1"/>
  <c r="E119" i="5" a="1"/>
  <c r="E119" i="5" s="1"/>
  <c r="F119" i="5" l="1"/>
  <c r="G119" i="5" s="1"/>
  <c r="A119" i="5" s="1"/>
  <c r="A119" i="9"/>
  <c r="BW19" i="1" a="1"/>
  <c r="BW19" i="1" l="1"/>
  <c r="BX19" i="1" s="1"/>
  <c r="BY19" i="1" s="1"/>
  <c r="M20" i="1" s="1" a="1"/>
  <c r="M20" i="1" s="1"/>
  <c r="Q20" i="1" a="1"/>
  <c r="Q20" i="1" s="1"/>
  <c r="O20" i="1" a="1"/>
  <c r="O20" i="1" s="1"/>
  <c r="W20" i="1" l="1" a="1"/>
  <c r="W20" i="1" s="1"/>
  <c r="V20" i="1" a="1"/>
  <c r="V20" i="1" s="1"/>
  <c r="P20" i="1" a="1"/>
  <c r="P20" i="1" s="1"/>
  <c r="AO19" i="1"/>
  <c r="L20" i="1" a="1"/>
  <c r="L20" i="1" s="1"/>
  <c r="R20" i="1" a="1"/>
  <c r="R20" i="1" s="1"/>
  <c r="T20" i="1" a="1"/>
  <c r="T20" i="1" s="1"/>
  <c r="U20" i="1" a="1"/>
  <c r="U20" i="1" s="1"/>
  <c r="Y20" i="1" l="1"/>
  <c r="AK20" i="1" s="1"/>
  <c r="I20" i="1" l="1"/>
  <c r="BF20" i="1" s="1" a="1"/>
  <c r="BF20" i="1" s="1"/>
  <c r="Z20" i="1"/>
  <c r="AH20" i="1"/>
  <c r="BG20" i="1" l="1"/>
  <c r="C20" i="9" s="1" a="1"/>
  <c r="C20" i="9" s="1"/>
  <c r="BJ20" i="1" l="1" a="1"/>
  <c r="BJ20" i="1" s="1"/>
  <c r="C20" i="5" l="1" a="1"/>
  <c r="C20" i="5" s="1"/>
  <c r="BK20" i="1" a="1"/>
  <c r="BK20" i="1" s="1"/>
  <c r="D20" i="9"/>
  <c r="D20" i="5" l="1"/>
  <c r="E20" i="5" s="1" a="1"/>
  <c r="E20" i="5" s="1"/>
  <c r="E20" i="9"/>
  <c r="F20" i="9" s="1"/>
  <c r="A20" i="9" s="1"/>
  <c r="BL20" i="1"/>
  <c r="BM20" i="1" s="1"/>
  <c r="C120" i="5" l="1"/>
  <c r="F20" i="5"/>
  <c r="G20" i="5" s="1"/>
  <c r="A20" i="5" s="1"/>
  <c r="BN20" i="1" a="1"/>
  <c r="BN20" i="1" l="1"/>
  <c r="BP20" i="1" s="1"/>
  <c r="BH20" i="1" l="1" a="1"/>
  <c r="BH20" i="1" s="1"/>
  <c r="D21" i="1" s="1" a="1"/>
  <c r="D21" i="1" s="1"/>
  <c r="BI20" i="1" a="1"/>
  <c r="BI20" i="1" s="1"/>
  <c r="F21" i="1" s="1" a="1"/>
  <c r="F21" i="1" s="1"/>
  <c r="BO20" i="1" l="1"/>
  <c r="BQ20" i="1"/>
  <c r="BE21" i="1" l="1" a="1"/>
  <c r="BE21" i="1" s="1"/>
  <c r="AW21" i="1"/>
  <c r="BB21" i="1" s="1" a="1"/>
  <c r="BB21" i="1" s="1"/>
  <c r="BD21" i="1" a="1"/>
  <c r="BD21" i="1" s="1"/>
  <c r="H21" i="1"/>
  <c r="CA20" i="1"/>
  <c r="BS20" i="1"/>
  <c r="CC20" i="1" l="1" a="1"/>
  <c r="CC20" i="1" s="1"/>
  <c r="CD20" i="1" s="1"/>
  <c r="C120" i="9"/>
  <c r="BT20" i="1" a="1"/>
  <c r="BT20" i="1" s="1"/>
  <c r="BV20" i="1" s="1"/>
  <c r="D120" i="5"/>
  <c r="AC21" i="1" a="1"/>
  <c r="AC21" i="1" s="1"/>
  <c r="AE21" i="1" a="1"/>
  <c r="AE21" i="1" s="1"/>
  <c r="BU20" i="1" l="1"/>
  <c r="AG21" i="1"/>
  <c r="D120" i="9"/>
  <c r="E120" i="9" s="1"/>
  <c r="F120" i="9" s="1"/>
  <c r="E120" i="5" a="1"/>
  <c r="E120" i="5" s="1"/>
  <c r="F120" i="5" l="1"/>
  <c r="G120" i="5" s="1"/>
  <c r="A120" i="5" s="1"/>
  <c r="A120" i="9"/>
  <c r="BW20" i="1" a="1"/>
  <c r="BW20" i="1" l="1"/>
  <c r="BX20" i="1" s="1"/>
  <c r="BY20" i="1" s="1"/>
  <c r="U21" i="1" s="1" a="1"/>
  <c r="U21" i="1" s="1"/>
  <c r="T21" i="1" l="1" a="1"/>
  <c r="T21" i="1" s="1"/>
  <c r="O21" i="1" a="1"/>
  <c r="O21" i="1" s="1"/>
  <c r="R21" i="1" a="1"/>
  <c r="R21" i="1" s="1"/>
  <c r="P21" i="1" a="1"/>
  <c r="P21" i="1" s="1"/>
  <c r="L21" i="1" a="1"/>
  <c r="L21" i="1" s="1"/>
  <c r="Q21" i="1" a="1"/>
  <c r="Q21" i="1" s="1"/>
  <c r="M21" i="1" a="1"/>
  <c r="M21" i="1" s="1"/>
  <c r="AO20" i="1"/>
  <c r="W21" i="1" a="1"/>
  <c r="W21" i="1" s="1"/>
  <c r="V21" i="1" a="1"/>
  <c r="V21" i="1" s="1"/>
  <c r="Y21" i="1" l="1"/>
  <c r="AK21" i="1" s="1"/>
  <c r="Z21" i="1" l="1"/>
  <c r="I21" i="1"/>
  <c r="BF21" i="1" s="1" a="1"/>
  <c r="BF21" i="1" s="1"/>
  <c r="AH21" i="1"/>
  <c r="BG21" i="1" l="1"/>
  <c r="C21" i="9" s="1" a="1"/>
  <c r="C21" i="9" s="1"/>
  <c r="BJ21" i="1" l="1" a="1"/>
  <c r="BJ21" i="1" s="1"/>
  <c r="C21" i="5" l="1" a="1"/>
  <c r="C21" i="5" s="1"/>
  <c r="BK21" i="1" a="1"/>
  <c r="BK21" i="1" s="1"/>
  <c r="D21" i="9"/>
  <c r="E21" i="9" s="1"/>
  <c r="D21" i="5" l="1"/>
  <c r="F21" i="9"/>
  <c r="A21" i="9" s="1"/>
  <c r="BL21" i="1"/>
  <c r="BM21" i="1" s="1"/>
  <c r="C121" i="5" l="1"/>
  <c r="E21" i="5" a="1"/>
  <c r="E21" i="5" s="1"/>
  <c r="F21" i="5" s="1"/>
  <c r="G21" i="5" s="1"/>
  <c r="A21" i="5" s="1"/>
  <c r="BN21" i="1" a="1"/>
  <c r="BN21" i="1" l="1"/>
  <c r="BP21" i="1" s="1"/>
  <c r="BH21" i="1" l="1" a="1"/>
  <c r="BH21" i="1" s="1"/>
  <c r="D22" i="1" s="1" a="1"/>
  <c r="D22" i="1" s="1"/>
  <c r="BI21" i="1" a="1"/>
  <c r="BI21" i="1" s="1"/>
  <c r="F22" i="1" s="1" a="1"/>
  <c r="F22" i="1" s="1"/>
  <c r="BO21" i="1" l="1"/>
  <c r="BQ21" i="1"/>
  <c r="BE22" i="1" a="1"/>
  <c r="BE22" i="1" s="1"/>
  <c r="AW22" i="1" l="1"/>
  <c r="BB22" i="1" s="1" a="1"/>
  <c r="BB22" i="1" s="1"/>
  <c r="BS21" i="1"/>
  <c r="CA21" i="1"/>
  <c r="H22" i="1"/>
  <c r="BD22" i="1" a="1"/>
  <c r="BD22" i="1" s="1"/>
  <c r="AC22" i="1" l="1" a="1"/>
  <c r="AC22" i="1" s="1"/>
  <c r="AE22" i="1" a="1"/>
  <c r="AE22" i="1" s="1"/>
  <c r="D121" i="5"/>
  <c r="C121" i="9"/>
  <c r="BT21" i="1" a="1"/>
  <c r="BT21" i="1" s="1"/>
  <c r="BV21" i="1" s="1"/>
  <c r="CC21" i="1" a="1"/>
  <c r="CC21" i="1" s="1"/>
  <c r="CD21" i="1" s="1"/>
  <c r="BU21" i="1" l="1"/>
  <c r="AG22" i="1"/>
  <c r="D121" i="9"/>
  <c r="E121" i="9" s="1"/>
  <c r="F121" i="9" s="1"/>
  <c r="E121" i="5" a="1"/>
  <c r="E121" i="5" s="1"/>
  <c r="F121" i="5" l="1"/>
  <c r="G121" i="5" s="1"/>
  <c r="A121" i="5" s="1"/>
  <c r="A121" i="9"/>
  <c r="BW21" i="1" a="1"/>
  <c r="BW21" i="1" l="1"/>
  <c r="BX21" i="1" s="1"/>
  <c r="BY21" i="1" s="1"/>
  <c r="U22" i="1" s="1" a="1"/>
  <c r="U22" i="1" s="1"/>
  <c r="O22" i="1" l="1" a="1"/>
  <c r="O22" i="1" s="1"/>
  <c r="P22" i="1" a="1"/>
  <c r="P22" i="1" s="1"/>
  <c r="Q22" i="1" a="1"/>
  <c r="Q22" i="1" s="1"/>
  <c r="L22" i="1" a="1"/>
  <c r="L22" i="1" s="1"/>
  <c r="T22" i="1" a="1"/>
  <c r="T22" i="1" s="1"/>
  <c r="V22" i="1" a="1"/>
  <c r="V22" i="1" s="1"/>
  <c r="AO21" i="1"/>
  <c r="M22" i="1" a="1"/>
  <c r="M22" i="1" s="1"/>
  <c r="R22" i="1" a="1"/>
  <c r="R22" i="1" s="1"/>
  <c r="W22" i="1" a="1"/>
  <c r="W22" i="1" s="1"/>
  <c r="Y22" i="1" l="1"/>
  <c r="AK22" i="1" s="1"/>
  <c r="Z22" i="1" l="1"/>
  <c r="AH22" i="1"/>
  <c r="I22" i="1"/>
  <c r="BF22" i="1" s="1" a="1"/>
  <c r="BF22" i="1" s="1"/>
  <c r="BG22" i="1" l="1"/>
  <c r="C22" i="9" s="1" a="1"/>
  <c r="C22" i="9" s="1"/>
  <c r="BJ22" i="1" l="1" a="1"/>
  <c r="BJ22" i="1" s="1"/>
  <c r="C22" i="5" l="1" a="1"/>
  <c r="C22" i="5" s="1"/>
  <c r="BK22" i="1" a="1"/>
  <c r="BK22" i="1" s="1"/>
  <c r="D22" i="9"/>
  <c r="E22" i="9" s="1"/>
  <c r="F22" i="9" s="1"/>
  <c r="D22" i="5" l="1"/>
  <c r="A22" i="9"/>
  <c r="BL22" i="1"/>
  <c r="BM22" i="1" s="1"/>
  <c r="C122" i="5" l="1"/>
  <c r="E22" i="5" a="1"/>
  <c r="E22" i="5" s="1"/>
  <c r="F22" i="5" s="1"/>
  <c r="G22" i="5" s="1"/>
  <c r="A22" i="5" s="1"/>
  <c r="BN22" i="1" a="1"/>
  <c r="BN22" i="1" l="1"/>
  <c r="BP22" i="1" s="1"/>
  <c r="BH22" i="1" l="1" a="1"/>
  <c r="BH22" i="1" s="1"/>
  <c r="D23" i="1" s="1" a="1"/>
  <c r="D23" i="1" s="1"/>
  <c r="BI22" i="1" a="1"/>
  <c r="BI22" i="1" s="1"/>
  <c r="F23" i="1" s="1" a="1"/>
  <c r="F23" i="1" s="1"/>
  <c r="BE23" i="1" l="1" a="1"/>
  <c r="BE23" i="1" s="1"/>
  <c r="BQ22" i="1"/>
  <c r="BO22" i="1"/>
  <c r="AW23" i="1" l="1"/>
  <c r="BB23" i="1" s="1" a="1"/>
  <c r="BB23" i="1" s="1"/>
  <c r="BD23" i="1" a="1"/>
  <c r="BD23" i="1" s="1"/>
  <c r="H23" i="1"/>
  <c r="CA22" i="1"/>
  <c r="BS22" i="1"/>
  <c r="AC23" i="1" l="1" a="1"/>
  <c r="AC23" i="1" s="1"/>
  <c r="AE23" i="1" a="1"/>
  <c r="AE23" i="1" s="1"/>
  <c r="CC22" i="1" a="1"/>
  <c r="CC22" i="1" s="1"/>
  <c r="CD22" i="1" s="1"/>
  <c r="C122" i="9"/>
  <c r="D122" i="5"/>
  <c r="BT22" i="1" a="1"/>
  <c r="BT22" i="1" s="1"/>
  <c r="BV22" i="1" s="1"/>
  <c r="BU22" i="1" l="1"/>
  <c r="E122" i="5" a="1"/>
  <c r="E122" i="5" s="1"/>
  <c r="F122" i="5" s="1"/>
  <c r="D122" i="9"/>
  <c r="E122" i="9" s="1"/>
  <c r="F122" i="9" s="1"/>
  <c r="AG23" i="1"/>
  <c r="G122" i="5" l="1"/>
  <c r="A122" i="5" s="1"/>
  <c r="A122" i="9"/>
  <c r="BW22" i="1" a="1"/>
  <c r="BW22" i="1" l="1"/>
  <c r="BX22" i="1" s="1"/>
  <c r="BY22" i="1" s="1"/>
  <c r="P23" i="1" s="1" a="1"/>
  <c r="P23" i="1" s="1"/>
  <c r="AO22" i="1" l="1"/>
  <c r="T23" i="1" a="1"/>
  <c r="T23" i="1" s="1"/>
  <c r="O23" i="1" a="1"/>
  <c r="O23" i="1" s="1"/>
  <c r="R23" i="1" a="1"/>
  <c r="R23" i="1" s="1"/>
  <c r="U23" i="1" a="1"/>
  <c r="U23" i="1" s="1"/>
  <c r="M23" i="1" a="1"/>
  <c r="M23" i="1" s="1"/>
  <c r="V23" i="1" a="1"/>
  <c r="V23" i="1" s="1"/>
  <c r="L23" i="1" a="1"/>
  <c r="L23" i="1" s="1"/>
  <c r="Q23" i="1" a="1"/>
  <c r="Q23" i="1" s="1"/>
  <c r="W23" i="1" a="1"/>
  <c r="W23" i="1" s="1"/>
  <c r="Y23" i="1" l="1"/>
  <c r="AK23" i="1" s="1"/>
  <c r="Z23" i="1" l="1"/>
  <c r="AH23" i="1"/>
  <c r="I23" i="1"/>
  <c r="BF23" i="1" s="1" a="1"/>
  <c r="BF23" i="1" s="1"/>
  <c r="BG23" i="1" l="1"/>
  <c r="C23" i="9" s="1" a="1"/>
  <c r="C23" i="9" s="1"/>
  <c r="BJ23" i="1" l="1" a="1"/>
  <c r="BJ23" i="1" s="1"/>
  <c r="C23" i="5" l="1" a="1"/>
  <c r="C23" i="5" s="1"/>
  <c r="BK23" i="1" a="1"/>
  <c r="BK23" i="1" s="1"/>
  <c r="D23" i="9"/>
  <c r="E23" i="9" s="1"/>
  <c r="D23" i="5" l="1"/>
  <c r="F23" i="9"/>
  <c r="A23" i="9" s="1"/>
  <c r="BL23" i="1"/>
  <c r="BM23" i="1" s="1"/>
  <c r="C123" i="5" l="1"/>
  <c r="E23" i="5" a="1"/>
  <c r="E23" i="5" s="1"/>
  <c r="F23" i="5" s="1"/>
  <c r="G23" i="5" s="1"/>
  <c r="A23" i="5" s="1"/>
  <c r="BN23" i="1" a="1"/>
  <c r="BN23" i="1" l="1"/>
  <c r="BP23" i="1" s="1"/>
  <c r="BH23" i="1" l="1" a="1"/>
  <c r="BH23" i="1" s="1"/>
  <c r="D24" i="1" s="1" a="1"/>
  <c r="D24" i="1" s="1"/>
  <c r="BI23" i="1" a="1"/>
  <c r="BI23" i="1" s="1"/>
  <c r="F24" i="1" s="1" a="1"/>
  <c r="F24" i="1" s="1"/>
  <c r="BQ23" i="1" l="1"/>
  <c r="BO23" i="1"/>
  <c r="BE24" i="1" a="1"/>
  <c r="BE24" i="1" s="1"/>
  <c r="BS23" i="1" l="1"/>
  <c r="CA23" i="1"/>
  <c r="BD24" i="1" a="1"/>
  <c r="BD24" i="1" s="1"/>
  <c r="H24" i="1"/>
  <c r="AW24" i="1" l="1"/>
  <c r="BB24" i="1" s="1" a="1"/>
  <c r="BB24" i="1" s="1"/>
  <c r="AC24" i="1" a="1"/>
  <c r="AC24" i="1" s="1"/>
  <c r="AE24" i="1" a="1"/>
  <c r="AE24" i="1" s="1"/>
  <c r="C123" i="9"/>
  <c r="D123" i="5"/>
  <c r="BT23" i="1" a="1"/>
  <c r="BT23" i="1" s="1"/>
  <c r="BV23" i="1" s="1"/>
  <c r="CC23" i="1" a="1"/>
  <c r="CC23" i="1" s="1"/>
  <c r="CD23" i="1" s="1"/>
  <c r="BU23" i="1" l="1"/>
  <c r="E123" i="5" a="1"/>
  <c r="E123" i="5" s="1"/>
  <c r="F123" i="5" s="1"/>
  <c r="D123" i="9"/>
  <c r="E123" i="9" s="1"/>
  <c r="F123" i="9" s="1"/>
  <c r="AG24" i="1"/>
  <c r="G123" i="5" l="1"/>
  <c r="A123" i="5" s="1"/>
  <c r="A123" i="9"/>
  <c r="BW23" i="1" a="1"/>
  <c r="BW23" i="1" l="1"/>
  <c r="BX23" i="1" s="1"/>
  <c r="BY23" i="1" s="1"/>
  <c r="U24" i="1" s="1" a="1"/>
  <c r="U24" i="1" s="1"/>
  <c r="T24" i="1" l="1" a="1"/>
  <c r="T24" i="1" s="1"/>
  <c r="O24" i="1" a="1"/>
  <c r="O24" i="1" s="1"/>
  <c r="P24" i="1" a="1"/>
  <c r="P24" i="1" s="1"/>
  <c r="Q24" i="1" a="1"/>
  <c r="Q24" i="1" s="1"/>
  <c r="M24" i="1" a="1"/>
  <c r="M24" i="1" s="1"/>
  <c r="L24" i="1" a="1"/>
  <c r="L24" i="1" s="1"/>
  <c r="R24" i="1" a="1"/>
  <c r="R24" i="1" s="1"/>
  <c r="AO23" i="1"/>
  <c r="V24" i="1" a="1"/>
  <c r="V24" i="1" s="1"/>
  <c r="W24" i="1" a="1"/>
  <c r="W24" i="1" s="1"/>
  <c r="Y24" i="1" l="1"/>
  <c r="AK24" i="1" s="1"/>
  <c r="I24" i="1" l="1"/>
  <c r="BF24" i="1" s="1" a="1"/>
  <c r="BF24" i="1" s="1"/>
  <c r="Z24" i="1"/>
  <c r="AH24" i="1"/>
  <c r="BG24" i="1" l="1"/>
  <c r="C24" i="9" s="1" a="1"/>
  <c r="C24" i="9" s="1"/>
  <c r="D24" i="9" l="1"/>
  <c r="BJ24" i="1" a="1"/>
  <c r="BJ24" i="1" s="1"/>
  <c r="C24" i="5" l="1" a="1"/>
  <c r="C24" i="5" s="1"/>
  <c r="BK24" i="1" a="1"/>
  <c r="BK24" i="1" s="1"/>
  <c r="E24" i="9"/>
  <c r="F24" i="9" s="1"/>
  <c r="A24" i="9" s="1"/>
  <c r="D24" i="5" l="1"/>
  <c r="BL24" i="1"/>
  <c r="BM24" i="1" s="1"/>
  <c r="C124" i="5" l="1"/>
  <c r="E24" i="5" a="1"/>
  <c r="E24" i="5" s="1"/>
  <c r="F24" i="5" s="1"/>
  <c r="G24" i="5" s="1"/>
  <c r="A24" i="5" s="1"/>
  <c r="BN24" i="1" a="1"/>
  <c r="BN24" i="1" l="1"/>
  <c r="BP24" i="1" s="1"/>
  <c r="BH24" i="1" l="1" a="1"/>
  <c r="BH24" i="1" s="1"/>
  <c r="D25" i="1" s="1" a="1"/>
  <c r="D25" i="1" s="1"/>
  <c r="BI24" i="1" a="1"/>
  <c r="BI24" i="1" s="1"/>
  <c r="F25" i="1" s="1" a="1"/>
  <c r="F25" i="1" s="1"/>
  <c r="BE25" i="1" l="1" a="1"/>
  <c r="BE25" i="1" s="1"/>
  <c r="BO24" i="1"/>
  <c r="BQ24" i="1"/>
  <c r="BS24" i="1" s="1"/>
  <c r="AW25" i="1"/>
  <c r="BB25" i="1" s="1" a="1"/>
  <c r="BB25" i="1" s="1"/>
  <c r="BD25" i="1" a="1"/>
  <c r="BD25" i="1" s="1"/>
  <c r="H25" i="1"/>
  <c r="CA24" i="1" l="1"/>
  <c r="AE25" i="1" s="1" a="1"/>
  <c r="AE25" i="1" s="1"/>
  <c r="D124" i="5"/>
  <c r="C124" i="9"/>
  <c r="BT24" i="1" a="1"/>
  <c r="BT24" i="1" s="1"/>
  <c r="BV24" i="1" s="1"/>
  <c r="AC25" i="1" l="1" a="1"/>
  <c r="AC25" i="1" s="1"/>
  <c r="AG25" i="1" s="1"/>
  <c r="CC24" i="1" a="1"/>
  <c r="CC24" i="1" s="1"/>
  <c r="CD24" i="1" s="1"/>
  <c r="BU24" i="1"/>
  <c r="D124" i="9"/>
  <c r="E124" i="9" s="1"/>
  <c r="E124" i="5" a="1"/>
  <c r="E124" i="5" s="1"/>
  <c r="F124" i="9" l="1"/>
  <c r="A124" i="9" s="1"/>
  <c r="F124" i="5"/>
  <c r="G124" i="5" s="1"/>
  <c r="A124" i="5" s="1"/>
  <c r="BW24" i="1" a="1"/>
  <c r="BW24" i="1" l="1"/>
  <c r="BX24" i="1" s="1"/>
  <c r="BY24" i="1" s="1"/>
  <c r="U25" i="1" s="1" a="1"/>
  <c r="U25" i="1" s="1"/>
  <c r="R25" i="1" a="1"/>
  <c r="R25" i="1" s="1"/>
  <c r="O25" i="1" a="1"/>
  <c r="O25" i="1" s="1"/>
  <c r="T25" i="1" l="1" a="1"/>
  <c r="T25" i="1" s="1"/>
  <c r="M25" i="1" a="1"/>
  <c r="M25" i="1" s="1"/>
  <c r="L25" i="1" a="1"/>
  <c r="L25" i="1" s="1"/>
  <c r="Q25" i="1" a="1"/>
  <c r="Q25" i="1" s="1"/>
  <c r="P25" i="1" a="1"/>
  <c r="P25" i="1" s="1"/>
  <c r="AO24" i="1"/>
  <c r="V25" i="1" a="1"/>
  <c r="V25" i="1" s="1"/>
  <c r="W25" i="1" a="1"/>
  <c r="W25" i="1" s="1"/>
  <c r="Y25" i="1" l="1"/>
  <c r="AK25" i="1" s="1"/>
  <c r="AH25" i="1" l="1"/>
  <c r="Z25" i="1"/>
  <c r="I25" i="1"/>
  <c r="BF25" i="1" s="1" a="1"/>
  <c r="BF25" i="1" s="1"/>
  <c r="BG25" i="1" l="1"/>
  <c r="C25" i="9" s="1" a="1"/>
  <c r="C25" i="9" s="1"/>
  <c r="BJ25" i="1" l="1" a="1"/>
  <c r="BJ25" i="1" s="1"/>
  <c r="C25" i="5" l="1" a="1"/>
  <c r="C25" i="5" s="1"/>
  <c r="BK25" i="1" a="1"/>
  <c r="BK25" i="1" s="1"/>
  <c r="BL25" i="1" s="1"/>
  <c r="BM25" i="1" s="1"/>
  <c r="D25" i="9"/>
  <c r="E25" i="9" s="1"/>
  <c r="F25" i="9" s="1"/>
  <c r="A25" i="9" s="1"/>
  <c r="D25" i="5" l="1"/>
  <c r="C125" i="5" l="1"/>
  <c r="E25" i="5" a="1"/>
  <c r="E25" i="5" s="1"/>
  <c r="F25" i="5" s="1"/>
  <c r="G25" i="5" s="1"/>
  <c r="A25" i="5" s="1"/>
  <c r="BN25" i="1" a="1"/>
  <c r="BN25" i="1" l="1"/>
  <c r="BP25" i="1" s="1"/>
  <c r="BH25" i="1" l="1" a="1"/>
  <c r="BH25" i="1" s="1"/>
  <c r="D26" i="1" s="1" a="1"/>
  <c r="D26" i="1" s="1"/>
  <c r="BI25" i="1" a="1"/>
  <c r="BI25" i="1" s="1"/>
  <c r="F26" i="1" s="1" a="1"/>
  <c r="F26" i="1" s="1"/>
  <c r="BE26" i="1" l="1" a="1"/>
  <c r="BE26" i="1" s="1"/>
  <c r="BO25" i="1"/>
  <c r="BQ25" i="1"/>
  <c r="CA25" i="1" s="1"/>
  <c r="AW26" i="1"/>
  <c r="BB26" i="1" s="1" a="1"/>
  <c r="BB26" i="1" s="1"/>
  <c r="BD26" i="1" a="1"/>
  <c r="BD26" i="1" s="1"/>
  <c r="H26" i="1"/>
  <c r="BS25" i="1" l="1"/>
  <c r="CC25" i="1" s="1" a="1"/>
  <c r="CC25" i="1" s="1"/>
  <c r="CD25" i="1" s="1"/>
  <c r="AC26" i="1" a="1"/>
  <c r="AC26" i="1" s="1"/>
  <c r="AE26" i="1" a="1"/>
  <c r="AE26" i="1" s="1"/>
  <c r="D125" i="5" l="1"/>
  <c r="E125" i="5" s="1" a="1"/>
  <c r="E125" i="5" s="1"/>
  <c r="F125" i="5" s="1"/>
  <c r="G125" i="5" s="1"/>
  <c r="A125" i="5" s="1"/>
  <c r="C125" i="9"/>
  <c r="D125" i="9" s="1"/>
  <c r="BT25" i="1" a="1"/>
  <c r="BT25" i="1" s="1"/>
  <c r="BU25" i="1" s="1"/>
  <c r="AG26" i="1"/>
  <c r="BW25" i="1" a="1"/>
  <c r="E125" i="9" l="1"/>
  <c r="F125" i="9" s="1"/>
  <c r="A125" i="9" s="1"/>
  <c r="BV25" i="1"/>
  <c r="BW25" i="1"/>
  <c r="BX25" i="1" l="1"/>
  <c r="BY25" i="1" s="1"/>
  <c r="U26" i="1" s="1" a="1"/>
  <c r="U26" i="1" s="1"/>
  <c r="R26" i="1" a="1"/>
  <c r="R26" i="1" s="1"/>
  <c r="M26" i="1" a="1"/>
  <c r="M26" i="1" s="1"/>
  <c r="L26" i="1" a="1"/>
  <c r="L26" i="1" s="1"/>
  <c r="Q26" i="1" a="1"/>
  <c r="Q26" i="1" s="1"/>
  <c r="P26" i="1" a="1"/>
  <c r="P26" i="1" s="1"/>
  <c r="O26" i="1" a="1"/>
  <c r="O26" i="1" s="1"/>
  <c r="W26" i="1" a="1"/>
  <c r="W26" i="1" s="1"/>
  <c r="T26" i="1" a="1"/>
  <c r="T26" i="1" s="1"/>
  <c r="V26" i="1" a="1"/>
  <c r="V26" i="1" s="1"/>
  <c r="AO25" i="1"/>
  <c r="Y26" i="1" l="1"/>
  <c r="AK26" i="1" l="1"/>
  <c r="AH26" i="1" l="1"/>
  <c r="I26" i="1"/>
  <c r="BF26" i="1" s="1" a="1"/>
  <c r="BF26" i="1" s="1"/>
  <c r="Z26" i="1"/>
  <c r="BG26" i="1" l="1"/>
  <c r="C26" i="9" s="1" a="1"/>
  <c r="C26" i="9" s="1"/>
  <c r="BJ26" i="1" l="1" a="1"/>
  <c r="BJ26" i="1" s="1"/>
  <c r="BK26" i="1" l="1" a="1"/>
  <c r="BK26" i="1" s="1"/>
  <c r="BL26" i="1" s="1"/>
  <c r="BM26" i="1" s="1"/>
  <c r="C26" i="5" a="1"/>
  <c r="C26" i="5" s="1"/>
  <c r="D26" i="9"/>
  <c r="E26" i="9" s="1"/>
  <c r="F26" i="9" s="1"/>
  <c r="A26" i="9" s="1"/>
  <c r="D26" i="5" l="1"/>
  <c r="C126" i="5" l="1"/>
  <c r="E26" i="5" a="1"/>
  <c r="E26" i="5" s="1"/>
  <c r="F26" i="5" s="1"/>
  <c r="G26" i="5" s="1"/>
  <c r="A26" i="5" s="1"/>
  <c r="BN26" i="1" a="1"/>
  <c r="BN26" i="1" l="1"/>
  <c r="BP26" i="1" s="1"/>
  <c r="BH26" i="1" l="1" a="1"/>
  <c r="BH26" i="1" s="1"/>
  <c r="D27" i="1" s="1" a="1"/>
  <c r="D27" i="1" s="1"/>
  <c r="BI26" i="1" a="1"/>
  <c r="BI26" i="1" s="1"/>
  <c r="F27" i="1" s="1" a="1"/>
  <c r="F27" i="1" s="1"/>
  <c r="BE27" i="1" l="1" a="1"/>
  <c r="BE27" i="1" s="1"/>
  <c r="BO26" i="1"/>
  <c r="BQ26" i="1"/>
  <c r="CA26" i="1" s="1"/>
  <c r="AW27" i="1"/>
  <c r="BB27" i="1" s="1" a="1"/>
  <c r="BB27" i="1" s="1"/>
  <c r="BD27" i="1" a="1"/>
  <c r="BD27" i="1" s="1"/>
  <c r="H27" i="1"/>
  <c r="BS26" i="1" l="1"/>
  <c r="CC26" i="1" s="1" a="1"/>
  <c r="CC26" i="1" s="1"/>
  <c r="CD26" i="1" s="1"/>
  <c r="AC27" i="1" a="1"/>
  <c r="AC27" i="1" s="1"/>
  <c r="AE27" i="1" a="1"/>
  <c r="AE27" i="1" s="1"/>
  <c r="BT26" i="1" l="1" a="1"/>
  <c r="BT26" i="1" s="1"/>
  <c r="BU26" i="1" s="1"/>
  <c r="BV26" i="1" s="1"/>
  <c r="D126" i="5"/>
  <c r="E126" i="5" s="1" a="1"/>
  <c r="E126" i="5" s="1"/>
  <c r="F126" i="5" s="1"/>
  <c r="C126" i="9"/>
  <c r="D126" i="9" s="1"/>
  <c r="E126" i="9" s="1"/>
  <c r="F126" i="9" s="1"/>
  <c r="A126" i="9" s="1"/>
  <c r="AG27" i="1"/>
  <c r="G126" i="5" l="1"/>
  <c r="A126" i="5" s="1"/>
  <c r="BW26" i="1" a="1"/>
  <c r="BW26" i="1" l="1"/>
  <c r="BX26" i="1" s="1"/>
  <c r="BY26" i="1" s="1"/>
  <c r="P27" i="1" l="1" a="1"/>
  <c r="P27" i="1" s="1"/>
  <c r="Q27" i="1" a="1"/>
  <c r="Q27" i="1" s="1"/>
  <c r="M27" i="1" a="1"/>
  <c r="M27" i="1" s="1"/>
  <c r="L27" i="1" a="1"/>
  <c r="L27" i="1" s="1"/>
  <c r="R27" i="1" a="1"/>
  <c r="R27" i="1" s="1"/>
  <c r="O27" i="1" a="1"/>
  <c r="O27" i="1" s="1"/>
  <c r="W27" i="1" a="1"/>
  <c r="W27" i="1" s="1"/>
  <c r="V27" i="1" a="1"/>
  <c r="V27" i="1" s="1"/>
  <c r="U27" i="1" a="1"/>
  <c r="U27" i="1" s="1"/>
  <c r="T27" i="1" a="1"/>
  <c r="T27" i="1" s="1"/>
  <c r="AO26" i="1"/>
  <c r="Y27" i="1" l="1"/>
  <c r="AK27" i="1" l="1"/>
  <c r="Z27" i="1" l="1"/>
  <c r="I27" i="1"/>
  <c r="BF27" i="1" s="1" a="1"/>
  <c r="BF27" i="1" s="1"/>
  <c r="AH27" i="1"/>
  <c r="BG27" i="1" l="1"/>
  <c r="C27" i="9" s="1" a="1"/>
  <c r="C27" i="9" s="1"/>
  <c r="BJ27" i="1" l="1" a="1"/>
  <c r="BJ27" i="1" s="1"/>
  <c r="D27" i="9" l="1"/>
  <c r="E27" i="9" s="1"/>
  <c r="F27" i="9" s="1"/>
  <c r="A27" i="9" s="1"/>
  <c r="C27" i="5" a="1"/>
  <c r="C27" i="5" s="1"/>
  <c r="BK27" i="1" a="1"/>
  <c r="BK27" i="1" s="1"/>
  <c r="BL27" i="1" s="1"/>
  <c r="BM27" i="1" s="1"/>
  <c r="D27" i="5" l="1"/>
  <c r="E27" i="5" l="1" a="1"/>
  <c r="E27" i="5" s="1"/>
  <c r="F27" i="5" s="1"/>
  <c r="G27" i="5" s="1"/>
  <c r="A27" i="5" s="1"/>
  <c r="C127" i="5"/>
  <c r="BN27" i="1" a="1"/>
  <c r="BN27" i="1" l="1"/>
  <c r="BP27" i="1" s="1"/>
  <c r="BH27" i="1" l="1" a="1"/>
  <c r="BH27" i="1" s="1"/>
  <c r="D28" i="1" s="1" a="1"/>
  <c r="D28" i="1" s="1"/>
  <c r="BI27" i="1" a="1"/>
  <c r="BI27" i="1" s="1"/>
  <c r="F28" i="1" s="1" a="1"/>
  <c r="F28" i="1" s="1"/>
  <c r="BE28" i="1" l="1" a="1"/>
  <c r="BE28" i="1" s="1"/>
  <c r="BO27" i="1"/>
  <c r="BQ27" i="1"/>
  <c r="BS27" i="1" s="1"/>
  <c r="AW28" i="1"/>
  <c r="BB28" i="1" s="1" a="1"/>
  <c r="BB28" i="1" s="1"/>
  <c r="H28" i="1"/>
  <c r="BD28" i="1" a="1"/>
  <c r="BD28" i="1" s="1"/>
  <c r="CA27" i="1" l="1"/>
  <c r="AE28" i="1" s="1" a="1"/>
  <c r="AE28" i="1" s="1"/>
  <c r="BT27" i="1" a="1"/>
  <c r="BT27" i="1" s="1"/>
  <c r="BU27" i="1" s="1"/>
  <c r="BV27" i="1" s="1"/>
  <c r="D127" i="5"/>
  <c r="C127" i="9"/>
  <c r="D127" i="9" s="1"/>
  <c r="E127" i="9" s="1"/>
  <c r="F127" i="9" s="1"/>
  <c r="A127" i="9" s="1"/>
  <c r="AC28" i="1" a="1"/>
  <c r="AC28" i="1" s="1"/>
  <c r="CC27" i="1" l="1" a="1"/>
  <c r="CC27" i="1" s="1"/>
  <c r="CD27" i="1" s="1"/>
  <c r="AG28" i="1"/>
  <c r="E127" i="5" a="1"/>
  <c r="E127" i="5" s="1"/>
  <c r="F127" i="5" s="1"/>
  <c r="G127" i="5" l="1"/>
  <c r="A127" i="5" s="1"/>
  <c r="BW27" i="1" a="1"/>
  <c r="BW27" i="1" l="1"/>
  <c r="BX27" i="1" s="1"/>
  <c r="BY27" i="1" s="1"/>
  <c r="R28" i="1" l="1" a="1"/>
  <c r="R28" i="1" s="1"/>
  <c r="L28" i="1" a="1"/>
  <c r="L28" i="1" s="1"/>
  <c r="M28" i="1" a="1"/>
  <c r="M28" i="1" s="1"/>
  <c r="Q28" i="1" a="1"/>
  <c r="Q28" i="1" s="1"/>
  <c r="P28" i="1" a="1"/>
  <c r="P28" i="1" s="1"/>
  <c r="U28" i="1" a="1"/>
  <c r="U28" i="1" s="1"/>
  <c r="O28" i="1" a="1"/>
  <c r="O28" i="1" s="1"/>
  <c r="T28" i="1" a="1"/>
  <c r="T28" i="1" s="1"/>
  <c r="W28" i="1" a="1"/>
  <c r="W28" i="1" s="1"/>
  <c r="V28" i="1" a="1"/>
  <c r="V28" i="1" s="1"/>
  <c r="AO27" i="1"/>
  <c r="Y28" i="1" l="1"/>
  <c r="AK28" i="1" l="1"/>
  <c r="AH28" i="1" l="1"/>
  <c r="Z28" i="1"/>
  <c r="I28" i="1"/>
  <c r="BF28" i="1" s="1" a="1"/>
  <c r="BF28" i="1" s="1"/>
  <c r="BG28" i="1" l="1"/>
  <c r="C28" i="9" s="1" a="1"/>
  <c r="C28" i="9" s="1"/>
  <c r="BJ28" i="1" l="1" a="1"/>
  <c r="BJ28" i="1" s="1"/>
  <c r="D28" i="9" l="1"/>
  <c r="E28" i="9" s="1"/>
  <c r="F28" i="9" s="1"/>
  <c r="BK28" i="1" a="1"/>
  <c r="BK28" i="1" s="1"/>
  <c r="BL28" i="1" s="1"/>
  <c r="BM28" i="1" s="1"/>
  <c r="C28" i="5" a="1"/>
  <c r="C28" i="5" s="1"/>
  <c r="D28" i="5" l="1"/>
  <c r="A28" i="9"/>
  <c r="C128" i="5" l="1"/>
  <c r="E28" i="5" a="1"/>
  <c r="E28" i="5" s="1"/>
  <c r="F28" i="5" s="1"/>
  <c r="G28" i="5" s="1"/>
  <c r="A28" i="5" s="1"/>
  <c r="BN28" i="1" a="1"/>
  <c r="BN28" i="1" l="1"/>
  <c r="BP28" i="1" s="1"/>
  <c r="BH28" i="1" l="1" a="1"/>
  <c r="BH28" i="1" s="1"/>
  <c r="D29" i="1" s="1" a="1"/>
  <c r="D29" i="1" s="1"/>
  <c r="BI28" i="1" a="1"/>
  <c r="BI28" i="1" s="1"/>
  <c r="F29" i="1" s="1" a="1"/>
  <c r="F29" i="1" s="1"/>
  <c r="BE29" i="1" l="1" a="1"/>
  <c r="BE29" i="1" s="1"/>
  <c r="BQ28" i="1"/>
  <c r="BS28" i="1" s="1"/>
  <c r="BO28" i="1"/>
  <c r="AW29" i="1"/>
  <c r="BB29" i="1" s="1" a="1"/>
  <c r="BB29" i="1" s="1"/>
  <c r="BD29" i="1" a="1"/>
  <c r="BD29" i="1" s="1"/>
  <c r="H29" i="1"/>
  <c r="CA28" i="1" l="1"/>
  <c r="AE29" i="1" s="1" a="1"/>
  <c r="AE29" i="1" s="1"/>
  <c r="BT28" i="1" a="1"/>
  <c r="BT28" i="1" s="1"/>
  <c r="BU28" i="1" s="1"/>
  <c r="BV28" i="1" s="1"/>
  <c r="C128" i="9"/>
  <c r="D128" i="9" s="1"/>
  <c r="E128" i="9" s="1"/>
  <c r="F128" i="9" s="1"/>
  <c r="A128" i="9" s="1"/>
  <c r="D128" i="5"/>
  <c r="E128" i="5" s="1" a="1"/>
  <c r="E128" i="5" s="1"/>
  <c r="F128" i="5" s="1"/>
  <c r="G128" i="5" s="1"/>
  <c r="A128" i="5" s="1"/>
  <c r="BW28" i="1" a="1"/>
  <c r="CC28" i="1" l="1" a="1"/>
  <c r="CC28" i="1" s="1"/>
  <c r="CD28" i="1" s="1"/>
  <c r="AC29" i="1" a="1"/>
  <c r="AC29" i="1" s="1"/>
  <c r="AG29" i="1" s="1"/>
  <c r="BW28" i="1"/>
  <c r="BX28" i="1" s="1"/>
  <c r="BY28" i="1" s="1"/>
  <c r="U29" i="1" l="1" a="1"/>
  <c r="U29" i="1" s="1"/>
  <c r="L29" i="1" a="1"/>
  <c r="L29" i="1" s="1"/>
  <c r="Q29" i="1" a="1"/>
  <c r="Q29" i="1" s="1"/>
  <c r="M29" i="1" a="1"/>
  <c r="M29" i="1" s="1"/>
  <c r="R29" i="1" a="1"/>
  <c r="R29" i="1" s="1"/>
  <c r="V29" i="1" a="1"/>
  <c r="V29" i="1" s="1"/>
  <c r="O29" i="1" a="1"/>
  <c r="O29" i="1" s="1"/>
  <c r="T29" i="1" a="1"/>
  <c r="T29" i="1" s="1"/>
  <c r="W29" i="1" a="1"/>
  <c r="W29" i="1" s="1"/>
  <c r="P29" i="1" a="1"/>
  <c r="P29" i="1" s="1"/>
  <c r="AO28" i="1"/>
  <c r="Y29" i="1" l="1"/>
  <c r="AK29" i="1" l="1"/>
  <c r="I29" i="1" l="1"/>
  <c r="BF29" i="1" s="1" a="1"/>
  <c r="BF29" i="1" s="1"/>
  <c r="AH29" i="1"/>
  <c r="Z29" i="1"/>
  <c r="BG29" i="1" l="1"/>
  <c r="C29" i="9" s="1" a="1"/>
  <c r="C29" i="9" s="1"/>
  <c r="BJ29" i="1" l="1" a="1"/>
  <c r="BJ29" i="1" s="1"/>
  <c r="BK29" i="1" l="1" a="1"/>
  <c r="BK29" i="1" s="1"/>
  <c r="BL29" i="1" s="1"/>
  <c r="BM29" i="1" s="1"/>
  <c r="C29" i="5" a="1"/>
  <c r="C29" i="5" s="1"/>
  <c r="D29" i="5" s="1"/>
  <c r="E29" i="5" s="1" a="1"/>
  <c r="E29" i="5" s="1"/>
  <c r="D29" i="9"/>
  <c r="E29" i="9" s="1"/>
  <c r="F29" i="9" s="1"/>
  <c r="A29" i="9" s="1"/>
  <c r="C129" i="5" l="1"/>
  <c r="F29" i="5"/>
  <c r="G29" i="5" s="1"/>
  <c r="A29" i="5" s="1"/>
  <c r="BN29" i="1" a="1"/>
  <c r="BN29" i="1" l="1"/>
  <c r="BP29" i="1" s="1"/>
  <c r="BH29" i="1" l="1" a="1"/>
  <c r="BH29" i="1" s="1"/>
  <c r="D30" i="1" s="1" a="1"/>
  <c r="D30" i="1" s="1"/>
  <c r="BI29" i="1" a="1"/>
  <c r="BI29" i="1" s="1"/>
  <c r="F30" i="1" s="1" a="1"/>
  <c r="F30" i="1" s="1"/>
  <c r="BO29" i="1" l="1"/>
  <c r="BQ29" i="1"/>
  <c r="BE30" i="1" a="1"/>
  <c r="BE30" i="1" s="1"/>
  <c r="AW30" i="1" l="1"/>
  <c r="BB30" i="1" s="1" a="1"/>
  <c r="BB30" i="1" s="1"/>
  <c r="BS29" i="1"/>
  <c r="CA29" i="1"/>
  <c r="BD30" i="1" a="1"/>
  <c r="BD30" i="1" s="1"/>
  <c r="H30" i="1"/>
  <c r="D129" i="5" l="1"/>
  <c r="C129" i="9"/>
  <c r="D129" i="9" s="1"/>
  <c r="E129" i="9" s="1"/>
  <c r="F129" i="9" s="1"/>
  <c r="A129" i="9" s="1"/>
  <c r="BT29" i="1" a="1"/>
  <c r="BT29" i="1" s="1"/>
  <c r="BU29" i="1" s="1"/>
  <c r="BV29" i="1" s="1"/>
  <c r="CC29" i="1" a="1"/>
  <c r="CC29" i="1" s="1"/>
  <c r="CD29" i="1" s="1"/>
  <c r="AC30" i="1" a="1"/>
  <c r="AC30" i="1" s="1"/>
  <c r="AE30" i="1" a="1"/>
  <c r="AE30" i="1" s="1"/>
  <c r="AG30" i="1" l="1"/>
  <c r="E129" i="5" a="1"/>
  <c r="E129" i="5" s="1"/>
  <c r="F129" i="5" s="1"/>
  <c r="G129" i="5" l="1"/>
  <c r="A129" i="5" s="1"/>
  <c r="BW29" i="1" a="1"/>
  <c r="BW29" i="1" l="1"/>
  <c r="BX29" i="1" s="1"/>
  <c r="BY29" i="1" s="1"/>
  <c r="U30" i="1" l="1" a="1"/>
  <c r="U30" i="1" s="1"/>
  <c r="R30" i="1" a="1"/>
  <c r="R30" i="1" s="1"/>
  <c r="P30" i="1" a="1"/>
  <c r="P30" i="1" s="1"/>
  <c r="Q30" i="1" a="1"/>
  <c r="Q30" i="1" s="1"/>
  <c r="L30" i="1" a="1"/>
  <c r="L30" i="1" s="1"/>
  <c r="W30" i="1" a="1"/>
  <c r="W30" i="1" s="1"/>
  <c r="O30" i="1" a="1"/>
  <c r="O30" i="1" s="1"/>
  <c r="V30" i="1" a="1"/>
  <c r="V30" i="1" s="1"/>
  <c r="T30" i="1" a="1"/>
  <c r="T30" i="1" s="1"/>
  <c r="M30" i="1" a="1"/>
  <c r="M30" i="1" s="1"/>
  <c r="AO29" i="1"/>
  <c r="Y30" i="1" l="1"/>
  <c r="AK30" i="1" l="1"/>
  <c r="Z30" i="1" l="1"/>
  <c r="I30" i="1"/>
  <c r="BF30" i="1" s="1" a="1"/>
  <c r="BF30" i="1" s="1"/>
  <c r="AH30" i="1"/>
  <c r="BG30" i="1" l="1"/>
  <c r="C30" i="9" s="1" a="1"/>
  <c r="C30" i="9" s="1"/>
  <c r="D30" i="9" l="1"/>
  <c r="E30" i="9" s="1"/>
  <c r="F30" i="9" s="1"/>
  <c r="A30" i="9" s="1"/>
  <c r="BJ30" i="1" a="1"/>
  <c r="BJ30" i="1" s="1"/>
  <c r="C30" i="5" l="1" a="1"/>
  <c r="C30" i="5" s="1"/>
  <c r="D30" i="5" s="1"/>
  <c r="E30" i="5" s="1" a="1"/>
  <c r="E30" i="5" s="1"/>
  <c r="BK30" i="1" a="1"/>
  <c r="BK30" i="1" s="1"/>
  <c r="BL30" i="1" s="1"/>
  <c r="BM30" i="1" s="1"/>
  <c r="C130" i="5" l="1"/>
  <c r="F30" i="5"/>
  <c r="G30" i="5" l="1"/>
  <c r="A30" i="5" s="1"/>
  <c r="BN30" i="1" a="1"/>
  <c r="BN30" i="1" l="1"/>
  <c r="BP30" i="1" s="1"/>
  <c r="BH30" i="1" l="1" a="1"/>
  <c r="BH30" i="1" s="1"/>
  <c r="D31" i="1" s="1" a="1"/>
  <c r="D31" i="1" s="1"/>
  <c r="BI30" i="1" a="1"/>
  <c r="BI30" i="1" s="1"/>
  <c r="F31" i="1" s="1" a="1"/>
  <c r="F31" i="1" s="1"/>
  <c r="BE31" i="1" l="1" a="1"/>
  <c r="BE31" i="1" s="1"/>
  <c r="BQ30" i="1"/>
  <c r="BO30" i="1"/>
  <c r="AW31" i="1" l="1"/>
  <c r="BB31" i="1" s="1" a="1"/>
  <c r="BB31" i="1" s="1"/>
  <c r="BD31" i="1" a="1"/>
  <c r="BD31" i="1" s="1"/>
  <c r="H31" i="1"/>
  <c r="CA30" i="1"/>
  <c r="BS30" i="1"/>
  <c r="CC30" i="1" l="1" a="1"/>
  <c r="CC30" i="1" s="1"/>
  <c r="CD30" i="1" s="1"/>
  <c r="BT30" i="1" a="1"/>
  <c r="BT30" i="1" s="1"/>
  <c r="BU30" i="1" s="1"/>
  <c r="BV30" i="1" s="1"/>
  <c r="C130" i="9"/>
  <c r="D130" i="5"/>
  <c r="AC31" i="1" a="1"/>
  <c r="AC31" i="1" s="1"/>
  <c r="AE31" i="1" a="1"/>
  <c r="AE31" i="1" s="1"/>
  <c r="AG31" i="1" l="1"/>
  <c r="E130" i="5" a="1"/>
  <c r="E130" i="5" s="1"/>
  <c r="F130" i="5" s="1"/>
  <c r="D130" i="9"/>
  <c r="E130" i="9" s="1"/>
  <c r="F130" i="9" s="1"/>
  <c r="A130" i="9" s="1"/>
  <c r="G130" i="5" l="1"/>
  <c r="A130" i="5" s="1"/>
  <c r="BW30" i="1" a="1"/>
  <c r="BW30" i="1" l="1"/>
  <c r="BX30" i="1" s="1"/>
  <c r="BY30" i="1" s="1"/>
  <c r="L31" i="1" l="1" a="1"/>
  <c r="L31" i="1" s="1"/>
  <c r="Q31" i="1" a="1"/>
  <c r="Q31" i="1" s="1"/>
  <c r="P31" i="1" a="1"/>
  <c r="P31" i="1" s="1"/>
  <c r="R31" i="1" a="1"/>
  <c r="R31" i="1" s="1"/>
  <c r="V31" i="1" a="1"/>
  <c r="V31" i="1" s="1"/>
  <c r="U31" i="1" a="1"/>
  <c r="U31" i="1" s="1"/>
  <c r="W31" i="1" a="1"/>
  <c r="W31" i="1" s="1"/>
  <c r="O31" i="1" a="1"/>
  <c r="O31" i="1" s="1"/>
  <c r="T31" i="1" a="1"/>
  <c r="T31" i="1" s="1"/>
  <c r="M31" i="1" a="1"/>
  <c r="M31" i="1" s="1"/>
  <c r="AO30" i="1"/>
  <c r="Y31" i="1" l="1"/>
  <c r="AK31" i="1" l="1"/>
  <c r="Z31" i="1" l="1"/>
  <c r="I31" i="1"/>
  <c r="BF31" i="1" s="1" a="1"/>
  <c r="BF31" i="1" s="1"/>
  <c r="AH31" i="1"/>
  <c r="BG31" i="1" l="1"/>
  <c r="C31" i="9" s="1" a="1"/>
  <c r="C31" i="9" s="1"/>
  <c r="BJ31" i="1" l="1" a="1"/>
  <c r="BJ31" i="1" s="1"/>
  <c r="BK31" i="1" l="1" a="1"/>
  <c r="BK31" i="1" s="1"/>
  <c r="BL31" i="1" s="1"/>
  <c r="BM31" i="1" s="1"/>
  <c r="C31" i="5" a="1"/>
  <c r="C31" i="5" s="1"/>
  <c r="D31" i="5" s="1"/>
  <c r="E31" i="5" s="1" a="1"/>
  <c r="E31" i="5" s="1"/>
  <c r="D31" i="9"/>
  <c r="E31" i="9" s="1"/>
  <c r="F31" i="9" s="1"/>
  <c r="A31" i="9" l="1"/>
  <c r="F31" i="5"/>
  <c r="G31" i="5" s="1"/>
  <c r="A31" i="5" s="1"/>
  <c r="C131" i="5"/>
  <c r="BN31" i="1" a="1"/>
  <c r="BN31" i="1" l="1"/>
  <c r="BP31" i="1" s="1"/>
  <c r="BH31" i="1" l="1" a="1"/>
  <c r="BH31" i="1" s="1"/>
  <c r="D32" i="1" s="1" a="1"/>
  <c r="D32" i="1" s="1"/>
  <c r="BI31" i="1" a="1"/>
  <c r="BI31" i="1" s="1"/>
  <c r="F32" i="1" s="1" a="1"/>
  <c r="F32" i="1" s="1"/>
  <c r="BQ31" i="1" l="1"/>
  <c r="BO31" i="1"/>
  <c r="BE32" i="1" a="1"/>
  <c r="BE32" i="1" s="1"/>
  <c r="AW32" i="1" l="1"/>
  <c r="BB32" i="1" s="1" a="1"/>
  <c r="BB32" i="1" s="1"/>
  <c r="BD32" i="1" a="1"/>
  <c r="BD32" i="1" s="1"/>
  <c r="H32" i="1"/>
  <c r="CA31" i="1"/>
  <c r="BS31" i="1"/>
  <c r="CC31" i="1" l="1" a="1"/>
  <c r="CC31" i="1" s="1"/>
  <c r="CD31" i="1" s="1"/>
  <c r="C131" i="9"/>
  <c r="BT31" i="1" a="1"/>
  <c r="BT31" i="1" s="1"/>
  <c r="D131" i="5"/>
  <c r="E131" i="5" s="1" a="1"/>
  <c r="E131" i="5" s="1"/>
  <c r="F131" i="5" s="1"/>
  <c r="G131" i="5" s="1"/>
  <c r="A131" i="5" s="1"/>
  <c r="AE32" i="1" a="1"/>
  <c r="AE32" i="1" s="1"/>
  <c r="AC32" i="1" a="1"/>
  <c r="AC32" i="1" s="1"/>
  <c r="AG32" i="1" l="1"/>
  <c r="BU31" i="1"/>
  <c r="BV31" i="1" s="1"/>
  <c r="D131" i="9"/>
  <c r="E131" i="9" s="1"/>
  <c r="F131" i="9" s="1"/>
  <c r="A131" i="9" s="1"/>
  <c r="BW31" i="1" a="1"/>
  <c r="BW31" i="1" l="1"/>
  <c r="BX31" i="1" s="1"/>
  <c r="BY31" i="1" s="1"/>
  <c r="U32" i="1" l="1" a="1"/>
  <c r="U32" i="1" s="1"/>
  <c r="O32" i="1" a="1"/>
  <c r="O32" i="1" s="1"/>
  <c r="V32" i="1" a="1"/>
  <c r="V32" i="1" s="1"/>
  <c r="T32" i="1" a="1"/>
  <c r="T32" i="1" s="1"/>
  <c r="AO31" i="1"/>
  <c r="L32" i="1" a="1"/>
  <c r="L32" i="1" s="1"/>
  <c r="R32" i="1" a="1"/>
  <c r="R32" i="1" s="1"/>
  <c r="P32" i="1" a="1"/>
  <c r="P32" i="1" s="1"/>
  <c r="W32" i="1" a="1"/>
  <c r="W32" i="1" s="1"/>
  <c r="Q32" i="1" a="1"/>
  <c r="Q32" i="1" s="1"/>
  <c r="M32" i="1" a="1"/>
  <c r="M32" i="1" s="1"/>
  <c r="Y32" i="1" l="1"/>
  <c r="AK32" i="1" s="1"/>
  <c r="AH32" i="1" l="1"/>
  <c r="Z32" i="1"/>
  <c r="I32" i="1"/>
  <c r="BF32" i="1" s="1" a="1"/>
  <c r="BF32" i="1" s="1"/>
  <c r="BG32" i="1" l="1"/>
  <c r="C32" i="9" s="1" a="1"/>
  <c r="C32" i="9" s="1"/>
  <c r="D32" i="9" l="1"/>
  <c r="E32" i="9" s="1"/>
  <c r="F32" i="9" s="1"/>
  <c r="A32" i="9" s="1"/>
  <c r="BJ32" i="1" a="1"/>
  <c r="BJ32" i="1" s="1"/>
  <c r="BK32" i="1" l="1" a="1"/>
  <c r="BK32" i="1" s="1"/>
  <c r="BL32" i="1" s="1"/>
  <c r="BM32" i="1" s="1"/>
  <c r="C32" i="5" a="1"/>
  <c r="C32" i="5" s="1"/>
  <c r="D32" i="5" s="1"/>
  <c r="E32" i="5" s="1" a="1"/>
  <c r="E32" i="5" s="1"/>
  <c r="C132" i="5" l="1"/>
  <c r="F32" i="5"/>
  <c r="G32" i="5" s="1"/>
  <c r="A32" i="5" s="1"/>
  <c r="BN32" i="1" a="1"/>
  <c r="BN32" i="1" l="1"/>
  <c r="BP32" i="1" s="1"/>
  <c r="BH32" i="1" l="1" a="1"/>
  <c r="BH32" i="1" s="1"/>
  <c r="D33" i="1" s="1" a="1"/>
  <c r="D33" i="1" s="1"/>
  <c r="BI32" i="1" a="1"/>
  <c r="BI32" i="1" s="1"/>
  <c r="F33" i="1" s="1" a="1"/>
  <c r="F33" i="1" s="1"/>
  <c r="BE33" i="1" l="1" a="1"/>
  <c r="BE33" i="1" s="1"/>
  <c r="BQ32" i="1"/>
  <c r="BO32" i="1"/>
  <c r="AW33" i="1" l="1"/>
  <c r="BB33" i="1" s="1" a="1"/>
  <c r="BB33" i="1" s="1"/>
  <c r="H33" i="1"/>
  <c r="BD33" i="1" a="1"/>
  <c r="BD33" i="1" s="1"/>
  <c r="CA32" i="1"/>
  <c r="BS32" i="1"/>
  <c r="BT32" i="1" l="1" a="1"/>
  <c r="BT32" i="1" s="1"/>
  <c r="C132" i="9"/>
  <c r="D132" i="5"/>
  <c r="E132" i="5" s="1" a="1"/>
  <c r="E132" i="5" s="1"/>
  <c r="F132" i="5" s="1"/>
  <c r="G132" i="5" s="1"/>
  <c r="A132" i="5" s="1"/>
  <c r="CC32" i="1" a="1"/>
  <c r="CC32" i="1" s="1"/>
  <c r="CD32" i="1" s="1"/>
  <c r="AE33" i="1" a="1"/>
  <c r="AE33" i="1" s="1"/>
  <c r="AC33" i="1" a="1"/>
  <c r="AC33" i="1" s="1"/>
  <c r="AG33" i="1" l="1"/>
  <c r="D132" i="9"/>
  <c r="E132" i="9" s="1"/>
  <c r="BU32" i="1"/>
  <c r="BV32" i="1" s="1"/>
  <c r="F132" i="9" l="1"/>
  <c r="A132" i="9" s="1"/>
  <c r="BW32" i="1" a="1"/>
  <c r="BW32" i="1" l="1"/>
  <c r="BX32" i="1" s="1"/>
  <c r="BY32" i="1" s="1"/>
  <c r="W33" i="1" l="1" a="1"/>
  <c r="W33" i="1" s="1"/>
  <c r="T33" i="1" a="1"/>
  <c r="T33" i="1" s="1"/>
  <c r="O33" i="1" a="1"/>
  <c r="O33" i="1" s="1"/>
  <c r="U33" i="1" a="1"/>
  <c r="U33" i="1" s="1"/>
  <c r="AO32" i="1"/>
  <c r="Q33" i="1" a="1"/>
  <c r="Q33" i="1" s="1"/>
  <c r="L33" i="1" a="1"/>
  <c r="L33" i="1" s="1"/>
  <c r="M33" i="1" a="1"/>
  <c r="M33" i="1" s="1"/>
  <c r="P33" i="1" a="1"/>
  <c r="P33" i="1" s="1"/>
  <c r="R33" i="1" a="1"/>
  <c r="R33" i="1" s="1"/>
  <c r="V33" i="1" a="1"/>
  <c r="V33" i="1" s="1"/>
  <c r="Y33" i="1" l="1"/>
  <c r="AK33" i="1" s="1"/>
  <c r="I33" i="1" s="1"/>
  <c r="BF33" i="1" s="1" a="1"/>
  <c r="BF33" i="1" s="1"/>
  <c r="Z33" i="1" l="1"/>
  <c r="AH33" i="1"/>
  <c r="BG33" i="1"/>
  <c r="C33" i="9" s="1" a="1"/>
  <c r="C33" i="9" s="1"/>
  <c r="BJ33" i="1" l="1" a="1"/>
  <c r="BJ33" i="1" s="1"/>
  <c r="C33" i="5" l="1" a="1"/>
  <c r="C33" i="5" s="1"/>
  <c r="D33" i="5" s="1"/>
  <c r="E33" i="5" s="1" a="1"/>
  <c r="E33" i="5" s="1"/>
  <c r="BK33" i="1" a="1"/>
  <c r="BK33" i="1" s="1"/>
  <c r="BL33" i="1" s="1"/>
  <c r="BM33" i="1" s="1"/>
  <c r="D33" i="9"/>
  <c r="E33" i="9" s="1"/>
  <c r="F33" i="9" s="1"/>
  <c r="A33" i="9" s="1"/>
  <c r="F33" i="5" l="1"/>
  <c r="G33" i="5" s="1"/>
  <c r="A33" i="5" s="1"/>
  <c r="C133" i="5"/>
  <c r="BN33" i="1" a="1"/>
  <c r="BN33" i="1" l="1"/>
  <c r="BP33" i="1" s="1"/>
  <c r="BH33" i="1" l="1" a="1"/>
  <c r="BH33" i="1" s="1"/>
  <c r="D34" i="1" s="1" a="1"/>
  <c r="D34" i="1" s="1"/>
  <c r="BI33" i="1" a="1"/>
  <c r="BI33" i="1" s="1"/>
  <c r="F34" i="1" s="1" a="1"/>
  <c r="F34" i="1" s="1"/>
  <c r="BO33" i="1" l="1"/>
  <c r="BQ33" i="1"/>
  <c r="BE34" i="1" a="1"/>
  <c r="BE34" i="1" s="1"/>
  <c r="AW34" i="1" l="1"/>
  <c r="BB34" i="1" s="1" a="1"/>
  <c r="BB34" i="1" s="1"/>
  <c r="H34" i="1"/>
  <c r="BD34" i="1" a="1"/>
  <c r="BD34" i="1" s="1"/>
  <c r="CA33" i="1"/>
  <c r="BS33" i="1"/>
  <c r="CC33" i="1" l="1" a="1"/>
  <c r="CC33" i="1" s="1"/>
  <c r="CD33" i="1" s="1"/>
  <c r="D133" i="5"/>
  <c r="C133" i="9"/>
  <c r="BT33" i="1" a="1"/>
  <c r="BT33" i="1" s="1"/>
  <c r="BU33" i="1" s="1"/>
  <c r="BV33" i="1" s="1"/>
  <c r="AC34" i="1" a="1"/>
  <c r="AC34" i="1" s="1"/>
  <c r="AE34" i="1" a="1"/>
  <c r="AE34" i="1" s="1"/>
  <c r="AG34" i="1" l="1"/>
  <c r="D133" i="9"/>
  <c r="E133" i="9" s="1"/>
  <c r="F133" i="9" s="1"/>
  <c r="A133" i="9" s="1"/>
  <c r="E133" i="5" a="1"/>
  <c r="E133" i="5" s="1"/>
  <c r="F133" i="5" s="1"/>
  <c r="G133" i="5" l="1"/>
  <c r="A133" i="5" s="1"/>
  <c r="BW33" i="1" a="1"/>
  <c r="BW33" i="1" l="1"/>
  <c r="BX33" i="1" s="1"/>
  <c r="BY33" i="1" s="1"/>
  <c r="R34" i="1" l="1" a="1"/>
  <c r="R34" i="1" s="1"/>
  <c r="P34" i="1" a="1"/>
  <c r="P34" i="1" s="1"/>
  <c r="Q34" i="1" a="1"/>
  <c r="Q34" i="1" s="1"/>
  <c r="L34" i="1" a="1"/>
  <c r="L34" i="1" s="1"/>
  <c r="O34" i="1" a="1"/>
  <c r="O34" i="1" s="1"/>
  <c r="W34" i="1" a="1"/>
  <c r="W34" i="1" s="1"/>
  <c r="V34" i="1" a="1"/>
  <c r="V34" i="1" s="1"/>
  <c r="M34" i="1" a="1"/>
  <c r="M34" i="1" s="1"/>
  <c r="U34" i="1" a="1"/>
  <c r="U34" i="1" s="1"/>
  <c r="T34" i="1" a="1"/>
  <c r="T34" i="1" s="1"/>
  <c r="AO33" i="1"/>
  <c r="Y34" i="1" l="1"/>
  <c r="AK34" i="1" l="1"/>
  <c r="AH34" i="1" l="1"/>
  <c r="I34" i="1"/>
  <c r="BF34" i="1" s="1" a="1"/>
  <c r="BF34" i="1" s="1"/>
  <c r="Z34" i="1"/>
  <c r="BG34" i="1" l="1"/>
  <c r="C34" i="9" s="1" a="1"/>
  <c r="C34" i="9" s="1"/>
  <c r="D34" i="9" l="1"/>
  <c r="E34" i="9" s="1"/>
  <c r="F34" i="9" s="1"/>
  <c r="A34" i="9" s="1"/>
  <c r="BJ34" i="1" a="1"/>
  <c r="BJ34" i="1" s="1"/>
  <c r="BK34" i="1" l="1" a="1"/>
  <c r="BK34" i="1" s="1"/>
  <c r="BL34" i="1" s="1"/>
  <c r="BM34" i="1" s="1"/>
  <c r="C34" i="5" a="1"/>
  <c r="C34" i="5" s="1"/>
  <c r="D34" i="5" s="1"/>
  <c r="E34" i="5" s="1" a="1"/>
  <c r="E34" i="5" s="1"/>
  <c r="F34" i="5" l="1"/>
  <c r="C134" i="5"/>
  <c r="G34" i="5" l="1"/>
  <c r="A34" i="5" s="1"/>
  <c r="BN34" i="1" a="1"/>
  <c r="BN34" i="1" l="1"/>
  <c r="BP34" i="1" s="1"/>
  <c r="BH34" i="1" l="1" a="1"/>
  <c r="BH34" i="1" s="1"/>
  <c r="D35" i="1" s="1" a="1"/>
  <c r="D35" i="1" s="1"/>
  <c r="BI34" i="1" a="1"/>
  <c r="BI34" i="1" s="1"/>
  <c r="F35" i="1" s="1" a="1"/>
  <c r="F35" i="1" s="1"/>
  <c r="BO34" i="1" l="1"/>
  <c r="BQ34" i="1"/>
  <c r="BE35" i="1" a="1"/>
  <c r="BE35" i="1" s="1"/>
  <c r="AW35" i="1" l="1"/>
  <c r="BB35" i="1" s="1" a="1"/>
  <c r="BB35" i="1" s="1"/>
  <c r="CA34" i="1"/>
  <c r="BS34" i="1"/>
  <c r="BD35" i="1" a="1"/>
  <c r="BD35" i="1" s="1"/>
  <c r="H35" i="1"/>
  <c r="CC34" i="1" l="1" a="1"/>
  <c r="CC34" i="1" s="1"/>
  <c r="CD34" i="1" s="1"/>
  <c r="C134" i="9"/>
  <c r="D134" i="9" s="1"/>
  <c r="E134" i="9" s="1"/>
  <c r="F134" i="9" s="1"/>
  <c r="A134" i="9" s="1"/>
  <c r="BT34" i="1" a="1"/>
  <c r="BT34" i="1" s="1"/>
  <c r="BU34" i="1" s="1"/>
  <c r="BV34" i="1" s="1"/>
  <c r="D134" i="5"/>
  <c r="AE35" i="1" a="1"/>
  <c r="AE35" i="1" s="1"/>
  <c r="AC35" i="1" a="1"/>
  <c r="AC35" i="1" s="1"/>
  <c r="AG35" i="1" l="1"/>
  <c r="E134" i="5" a="1"/>
  <c r="E134" i="5" s="1"/>
  <c r="F134" i="5" s="1"/>
  <c r="G134" i="5" l="1"/>
  <c r="A134" i="5" s="1"/>
  <c r="BW34" i="1" a="1"/>
  <c r="BW34" i="1" l="1"/>
  <c r="BX34" i="1" s="1"/>
  <c r="BY34" i="1" s="1"/>
  <c r="M35" i="1" l="1" a="1"/>
  <c r="M35" i="1" s="1"/>
  <c r="P35" i="1" a="1"/>
  <c r="P35" i="1" s="1"/>
  <c r="L35" i="1" a="1"/>
  <c r="L35" i="1" s="1"/>
  <c r="Q35" i="1" a="1"/>
  <c r="Q35" i="1" s="1"/>
  <c r="R35" i="1" a="1"/>
  <c r="R35" i="1" s="1"/>
  <c r="W35" i="1" a="1"/>
  <c r="W35" i="1" s="1"/>
  <c r="T35" i="1" a="1"/>
  <c r="T35" i="1" s="1"/>
  <c r="U35" i="1" a="1"/>
  <c r="U35" i="1" s="1"/>
  <c r="V35" i="1" a="1"/>
  <c r="V35" i="1" s="1"/>
  <c r="O35" i="1" a="1"/>
  <c r="O35" i="1" s="1"/>
  <c r="AO34" i="1"/>
  <c r="Y35" i="1" l="1"/>
  <c r="AK35" i="1" l="1"/>
  <c r="I35" i="1" l="1"/>
  <c r="BF35" i="1" s="1" a="1"/>
  <c r="BF35" i="1" s="1"/>
  <c r="Z35" i="1"/>
  <c r="AH35" i="1"/>
  <c r="BG35" i="1" l="1"/>
  <c r="C35" i="9" s="1" a="1"/>
  <c r="C35" i="9" s="1"/>
  <c r="BJ35" i="1" l="1" a="1"/>
  <c r="BJ35" i="1" s="1"/>
  <c r="D35" i="9"/>
  <c r="E35" i="9" s="1"/>
  <c r="F35" i="9" s="1"/>
  <c r="A35" i="9" s="1"/>
  <c r="BK35" i="1" l="1" a="1"/>
  <c r="BK35" i="1" s="1"/>
  <c r="BL35" i="1" s="1"/>
  <c r="BM35" i="1" s="1"/>
  <c r="C35" i="5" a="1"/>
  <c r="C35" i="5" s="1"/>
  <c r="D35" i="5" s="1"/>
  <c r="E35" i="5" s="1" a="1"/>
  <c r="E35" i="5" s="1"/>
  <c r="F35" i="5" l="1"/>
  <c r="G35" i="5" s="1"/>
  <c r="A35" i="5" s="1"/>
  <c r="C135" i="5"/>
  <c r="BN35" i="1" a="1"/>
  <c r="BN35" i="1" l="1"/>
  <c r="BP35" i="1" s="1"/>
  <c r="BH35" i="1" l="1" a="1"/>
  <c r="BH35" i="1" s="1"/>
  <c r="D36" i="1" s="1" a="1"/>
  <c r="D36" i="1" s="1"/>
  <c r="BI35" i="1" a="1"/>
  <c r="BI35" i="1" s="1"/>
  <c r="F36" i="1" s="1" a="1"/>
  <c r="F36" i="1" s="1"/>
  <c r="BQ35" i="1" l="1"/>
  <c r="BO35" i="1"/>
  <c r="BE36" i="1" a="1"/>
  <c r="BE36" i="1" s="1"/>
  <c r="AW36" i="1" l="1"/>
  <c r="BB36" i="1" s="1" a="1"/>
  <c r="BB36" i="1" s="1"/>
  <c r="BD36" i="1" a="1"/>
  <c r="BD36" i="1" s="1"/>
  <c r="H36" i="1"/>
  <c r="CA35" i="1"/>
  <c r="BS35" i="1"/>
  <c r="AE36" i="1" l="1" a="1"/>
  <c r="AE36" i="1" s="1"/>
  <c r="AC36" i="1" a="1"/>
  <c r="AC36" i="1" s="1"/>
  <c r="CC35" i="1" a="1"/>
  <c r="CC35" i="1" s="1"/>
  <c r="CD35" i="1" s="1"/>
  <c r="BT35" i="1" a="1"/>
  <c r="BT35" i="1" s="1"/>
  <c r="D135" i="5"/>
  <c r="E135" i="5" s="1" a="1"/>
  <c r="E135" i="5" s="1"/>
  <c r="F135" i="5" s="1"/>
  <c r="G135" i="5" s="1"/>
  <c r="A135" i="5" s="1"/>
  <c r="C135" i="9"/>
  <c r="D135" i="9" s="1"/>
  <c r="E135" i="9" s="1"/>
  <c r="F135" i="9" s="1"/>
  <c r="A135" i="9" s="1"/>
  <c r="BW35" i="1" a="1"/>
  <c r="AG36" i="1" l="1"/>
  <c r="BW35" i="1"/>
  <c r="BU35" i="1"/>
  <c r="BV35" i="1" s="1"/>
  <c r="BX35" i="1" s="1"/>
  <c r="BY35" i="1" s="1"/>
  <c r="P36" i="1" l="1" a="1"/>
  <c r="P36" i="1" s="1"/>
  <c r="Q36" i="1" a="1"/>
  <c r="Q36" i="1" s="1"/>
  <c r="M36" i="1" a="1"/>
  <c r="M36" i="1" s="1"/>
  <c r="L36" i="1" a="1"/>
  <c r="L36" i="1" s="1"/>
  <c r="O36" i="1" a="1"/>
  <c r="O36" i="1" s="1"/>
  <c r="W36" i="1" a="1"/>
  <c r="W36" i="1" s="1"/>
  <c r="U36" i="1" a="1"/>
  <c r="U36" i="1" s="1"/>
  <c r="V36" i="1" a="1"/>
  <c r="V36" i="1" s="1"/>
  <c r="T36" i="1" a="1"/>
  <c r="T36" i="1" s="1"/>
  <c r="R36" i="1" a="1"/>
  <c r="R36" i="1" s="1"/>
  <c r="AO35" i="1"/>
  <c r="Y36" i="1" l="1"/>
  <c r="AK36" i="1" l="1"/>
  <c r="I36" i="1" l="1"/>
  <c r="BF36" i="1" s="1" a="1"/>
  <c r="BF36" i="1" s="1"/>
  <c r="Z36" i="1"/>
  <c r="AH36" i="1"/>
  <c r="BG36" i="1" l="1"/>
  <c r="C36" i="9" s="1" a="1"/>
  <c r="C36" i="9" s="1"/>
  <c r="D36" i="9" l="1"/>
  <c r="E36" i="9" s="1"/>
  <c r="F36" i="9" s="1"/>
  <c r="A36" i="9" s="1"/>
  <c r="BJ36" i="1" a="1"/>
  <c r="BJ36" i="1" s="1"/>
  <c r="BK36" i="1" l="1" a="1"/>
  <c r="BK36" i="1" s="1"/>
  <c r="BL36" i="1" s="1"/>
  <c r="BM36" i="1" s="1"/>
  <c r="C36" i="5" a="1"/>
  <c r="C36" i="5" s="1"/>
  <c r="D36" i="5" s="1"/>
  <c r="E36" i="5" s="1" a="1"/>
  <c r="E36" i="5" s="1"/>
  <c r="C136" i="5" l="1"/>
  <c r="F36" i="5"/>
  <c r="G36" i="5" s="1"/>
  <c r="A36" i="5" s="1"/>
  <c r="BN36" i="1" a="1"/>
  <c r="BN36" i="1" l="1"/>
  <c r="BP36" i="1" s="1"/>
  <c r="BH36" i="1" l="1" a="1"/>
  <c r="BH36" i="1" s="1"/>
  <c r="D37" i="1" s="1" a="1"/>
  <c r="D37" i="1" s="1"/>
  <c r="BI36" i="1" a="1"/>
  <c r="BI36" i="1" s="1"/>
  <c r="F37" i="1" s="1" a="1"/>
  <c r="F37" i="1" s="1"/>
  <c r="BO36" i="1" l="1"/>
  <c r="BQ36" i="1"/>
  <c r="BE37" i="1" a="1"/>
  <c r="BE37" i="1" s="1"/>
  <c r="AW37" i="1" l="1"/>
  <c r="BB37" i="1" s="1" a="1"/>
  <c r="BB37" i="1" s="1"/>
  <c r="CA36" i="1"/>
  <c r="BS36" i="1"/>
  <c r="BD37" i="1" a="1"/>
  <c r="BD37" i="1" s="1"/>
  <c r="H37" i="1"/>
  <c r="CC36" i="1" l="1" a="1"/>
  <c r="CC36" i="1" s="1"/>
  <c r="CD36" i="1" s="1"/>
  <c r="C136" i="9"/>
  <c r="D136" i="9" s="1"/>
  <c r="E136" i="9" s="1"/>
  <c r="F136" i="9" s="1"/>
  <c r="A136" i="9" s="1"/>
  <c r="D136" i="5"/>
  <c r="BT36" i="1" a="1"/>
  <c r="BT36" i="1" s="1"/>
  <c r="BU36" i="1" s="1"/>
  <c r="BV36" i="1" s="1"/>
  <c r="AC37" i="1" a="1"/>
  <c r="AC37" i="1" s="1"/>
  <c r="AE37" i="1" a="1"/>
  <c r="AE37" i="1" s="1"/>
  <c r="AG37" i="1" l="1"/>
  <c r="E136" i="5" a="1"/>
  <c r="E136" i="5" s="1"/>
  <c r="F136" i="5" s="1"/>
  <c r="G136" i="5" l="1"/>
  <c r="A136" i="5" s="1"/>
  <c r="BW36" i="1" a="1"/>
  <c r="BW36" i="1" l="1"/>
  <c r="BX36" i="1" s="1"/>
  <c r="BY36" i="1" s="1"/>
  <c r="P37" i="1" l="1" a="1"/>
  <c r="P37" i="1" s="1"/>
  <c r="L37" i="1" a="1"/>
  <c r="L37" i="1" s="1"/>
  <c r="R37" i="1" a="1"/>
  <c r="R37" i="1" s="1"/>
  <c r="M37" i="1" a="1"/>
  <c r="M37" i="1" s="1"/>
  <c r="Q37" i="1" a="1"/>
  <c r="Q37" i="1" s="1"/>
  <c r="V37" i="1" a="1"/>
  <c r="V37" i="1" s="1"/>
  <c r="T37" i="1" a="1"/>
  <c r="T37" i="1" s="1"/>
  <c r="W37" i="1" a="1"/>
  <c r="W37" i="1" s="1"/>
  <c r="U37" i="1" a="1"/>
  <c r="U37" i="1" s="1"/>
  <c r="O37" i="1" a="1"/>
  <c r="O37" i="1" s="1"/>
  <c r="AO36" i="1"/>
  <c r="Y37" i="1" l="1"/>
  <c r="AK37" i="1" l="1"/>
  <c r="Z37" i="1" l="1"/>
  <c r="AH37" i="1"/>
  <c r="I37" i="1"/>
  <c r="BF37" i="1" s="1" a="1"/>
  <c r="BF37" i="1" s="1"/>
  <c r="BG37" i="1" l="1"/>
  <c r="C37" i="9" s="1" a="1"/>
  <c r="C37" i="9" s="1"/>
  <c r="D37" i="9" l="1"/>
  <c r="E37" i="9" s="1"/>
  <c r="F37" i="9" s="1"/>
  <c r="A37" i="9" s="1"/>
  <c r="BJ37" i="1" a="1"/>
  <c r="BJ37" i="1" s="1"/>
  <c r="BK37" i="1" l="1" a="1"/>
  <c r="BK37" i="1" s="1"/>
  <c r="BL37" i="1" s="1"/>
  <c r="BM37" i="1" s="1"/>
  <c r="C37" i="5" a="1"/>
  <c r="C37" i="5" s="1"/>
  <c r="D37" i="5" s="1"/>
  <c r="E37" i="5" s="1" a="1"/>
  <c r="E37" i="5" s="1"/>
  <c r="F37" i="5" l="1"/>
  <c r="G37" i="5" s="1"/>
  <c r="A37" i="5" s="1"/>
  <c r="C137" i="5"/>
  <c r="BN37" i="1" a="1"/>
  <c r="BN37" i="1" l="1"/>
  <c r="BP37" i="1" s="1"/>
  <c r="BH37" i="1" l="1" a="1"/>
  <c r="BH37" i="1" s="1"/>
  <c r="D38" i="1" s="1" a="1"/>
  <c r="D38" i="1" s="1"/>
  <c r="BI37" i="1" a="1"/>
  <c r="BI37" i="1" s="1"/>
  <c r="F38" i="1" s="1" a="1"/>
  <c r="F38" i="1" s="1"/>
  <c r="BQ37" i="1" l="1"/>
  <c r="BO37" i="1"/>
  <c r="BE38" i="1" a="1"/>
  <c r="BE38" i="1" s="1"/>
  <c r="H38" i="1" l="1"/>
  <c r="BD38" i="1" a="1"/>
  <c r="BD38" i="1" s="1"/>
  <c r="CA37" i="1"/>
  <c r="BS37" i="1"/>
  <c r="AW38" i="1" l="1"/>
  <c r="BB38" i="1" s="1" a="1"/>
  <c r="BB38" i="1" s="1"/>
  <c r="CC37" i="1" a="1"/>
  <c r="CC37" i="1" s="1"/>
  <c r="CD37" i="1" s="1"/>
  <c r="D137" i="5"/>
  <c r="C137" i="9"/>
  <c r="D137" i="9" s="1"/>
  <c r="E137" i="9" s="1"/>
  <c r="F137" i="9" s="1"/>
  <c r="A137" i="9" s="1"/>
  <c r="BT37" i="1" a="1"/>
  <c r="BT37" i="1" s="1"/>
  <c r="BU37" i="1" s="1"/>
  <c r="BV37" i="1" s="1"/>
  <c r="AC38" i="1" a="1"/>
  <c r="AC38" i="1" s="1"/>
  <c r="AE38" i="1" a="1"/>
  <c r="AE38" i="1" s="1"/>
  <c r="AG38" i="1" l="1"/>
  <c r="E137" i="5" a="1"/>
  <c r="E137" i="5" s="1"/>
  <c r="F137" i="5" s="1"/>
  <c r="G137" i="5" l="1"/>
  <c r="A137" i="5" s="1"/>
  <c r="BW37" i="1" a="1"/>
  <c r="BW37" i="1" l="1"/>
  <c r="BX37" i="1" s="1"/>
  <c r="BY37" i="1" s="1"/>
  <c r="M38" i="1" l="1" a="1"/>
  <c r="M38" i="1" s="1"/>
  <c r="R38" i="1" a="1"/>
  <c r="R38" i="1" s="1"/>
  <c r="P38" i="1" a="1"/>
  <c r="P38" i="1" s="1"/>
  <c r="L38" i="1" a="1"/>
  <c r="L38" i="1" s="1"/>
  <c r="V38" i="1" a="1"/>
  <c r="V38" i="1" s="1"/>
  <c r="Q38" i="1" a="1"/>
  <c r="Q38" i="1" s="1"/>
  <c r="O38" i="1" a="1"/>
  <c r="O38" i="1" s="1"/>
  <c r="U38" i="1" a="1"/>
  <c r="U38" i="1" s="1"/>
  <c r="T38" i="1" a="1"/>
  <c r="T38" i="1" s="1"/>
  <c r="W38" i="1" a="1"/>
  <c r="W38" i="1" s="1"/>
  <c r="AO37" i="1"/>
  <c r="Y38" i="1" l="1"/>
  <c r="AK38" i="1" l="1"/>
  <c r="AH38" i="1" l="1"/>
  <c r="Z38" i="1"/>
  <c r="I38" i="1"/>
  <c r="BF38" i="1" s="1" a="1"/>
  <c r="BF38" i="1" s="1"/>
  <c r="BG38" i="1" l="1"/>
  <c r="C38" i="9" s="1" a="1"/>
  <c r="C38" i="9" s="1"/>
  <c r="D38" i="9" l="1"/>
  <c r="E38" i="9" s="1"/>
  <c r="F38" i="9" s="1"/>
  <c r="A38" i="9" s="1"/>
  <c r="BJ38" i="1" a="1"/>
  <c r="BJ38" i="1" s="1"/>
  <c r="C38" i="5" l="1" a="1"/>
  <c r="C38" i="5" s="1"/>
  <c r="D38" i="5" s="1"/>
  <c r="E38" i="5" s="1" a="1"/>
  <c r="E38" i="5" s="1"/>
  <c r="BK38" i="1" a="1"/>
  <c r="BK38" i="1" s="1"/>
  <c r="BL38" i="1" s="1"/>
  <c r="BM38" i="1" s="1"/>
  <c r="F38" i="5" l="1"/>
  <c r="C138" i="5"/>
  <c r="G38" i="5" l="1"/>
  <c r="A38" i="5" s="1"/>
  <c r="BN38" i="1" a="1"/>
  <c r="BN38" i="1" l="1"/>
  <c r="BP38" i="1" s="1"/>
  <c r="BH38" i="1" l="1" a="1"/>
  <c r="BH38" i="1" s="1"/>
  <c r="D39" i="1" s="1" a="1"/>
  <c r="D39" i="1" s="1"/>
  <c r="BI38" i="1" a="1"/>
  <c r="BI38" i="1" s="1"/>
  <c r="F39" i="1" s="1" a="1"/>
  <c r="F39" i="1" s="1"/>
  <c r="BQ38" i="1" l="1"/>
  <c r="BO38" i="1"/>
  <c r="BE39" i="1" a="1"/>
  <c r="BE39" i="1" s="1"/>
  <c r="AW39" i="1" l="1"/>
  <c r="BB39" i="1" s="1" a="1"/>
  <c r="BB39" i="1" s="1"/>
  <c r="H39" i="1"/>
  <c r="BD39" i="1" a="1"/>
  <c r="BD39" i="1" s="1"/>
  <c r="CA38" i="1"/>
  <c r="BS38" i="1"/>
  <c r="CC38" i="1" l="1" a="1"/>
  <c r="CC38" i="1" s="1"/>
  <c r="CD38" i="1" s="1"/>
  <c r="D138" i="5"/>
  <c r="E138" i="5" s="1" a="1"/>
  <c r="E138" i="5" s="1"/>
  <c r="F138" i="5" s="1"/>
  <c r="G138" i="5" s="1"/>
  <c r="A138" i="5" s="1"/>
  <c r="BT38" i="1" a="1"/>
  <c r="BT38" i="1" s="1"/>
  <c r="BU38" i="1" s="1"/>
  <c r="BV38" i="1" s="1"/>
  <c r="C138" i="9"/>
  <c r="D138" i="9" s="1"/>
  <c r="E138" i="9" s="1"/>
  <c r="F138" i="9" s="1"/>
  <c r="A138" i="9" s="1"/>
  <c r="AC39" i="1" a="1"/>
  <c r="AC39" i="1" s="1"/>
  <c r="AE39" i="1" a="1"/>
  <c r="AE39" i="1" s="1"/>
  <c r="BW38" i="1" a="1"/>
  <c r="BW38" i="1" l="1"/>
  <c r="BX38" i="1" s="1"/>
  <c r="BY38" i="1" s="1"/>
  <c r="AG39" i="1"/>
  <c r="Q39" i="1" l="1" a="1"/>
  <c r="Q39" i="1" s="1"/>
  <c r="M39" i="1" a="1"/>
  <c r="M39" i="1" s="1"/>
  <c r="L39" i="1" a="1"/>
  <c r="L39" i="1" s="1"/>
  <c r="P39" i="1" a="1"/>
  <c r="P39" i="1" s="1"/>
  <c r="R39" i="1" a="1"/>
  <c r="R39" i="1" s="1"/>
  <c r="O39" i="1" a="1"/>
  <c r="O39" i="1" s="1"/>
  <c r="W39" i="1" a="1"/>
  <c r="W39" i="1" s="1"/>
  <c r="V39" i="1" a="1"/>
  <c r="V39" i="1" s="1"/>
  <c r="T39" i="1" a="1"/>
  <c r="T39" i="1" s="1"/>
  <c r="U39" i="1" a="1"/>
  <c r="U39" i="1" s="1"/>
  <c r="AO38" i="1"/>
  <c r="Y39" i="1" l="1"/>
  <c r="AK39" i="1" l="1"/>
  <c r="I39" i="1" l="1"/>
  <c r="BF39" i="1" s="1" a="1"/>
  <c r="BF39" i="1" s="1"/>
  <c r="AH39" i="1"/>
  <c r="Z39" i="1"/>
  <c r="BG39" i="1" l="1"/>
  <c r="C39" i="9" s="1" a="1"/>
  <c r="C39" i="9" s="1"/>
  <c r="D39" i="9" l="1"/>
  <c r="E39" i="9" s="1"/>
  <c r="F39" i="9" s="1"/>
  <c r="A39" i="9" s="1"/>
  <c r="BJ39" i="1" a="1"/>
  <c r="BJ39" i="1" s="1"/>
  <c r="BK39" i="1" l="1" a="1"/>
  <c r="BK39" i="1" s="1"/>
  <c r="BL39" i="1" s="1"/>
  <c r="BM39" i="1" s="1"/>
  <c r="C39" i="5" a="1"/>
  <c r="C39" i="5" s="1"/>
  <c r="D39" i="5" s="1"/>
  <c r="E39" i="5" s="1" a="1"/>
  <c r="E39" i="5" s="1"/>
  <c r="F39" i="5" l="1"/>
  <c r="C139" i="5"/>
  <c r="G39" i="5" l="1"/>
  <c r="A39" i="5" s="1"/>
  <c r="BN39" i="1" a="1"/>
  <c r="BN39" i="1" l="1"/>
  <c r="BP39" i="1" s="1"/>
  <c r="BH39" i="1" l="1" a="1"/>
  <c r="BH39" i="1" s="1"/>
  <c r="D40" i="1" s="1" a="1"/>
  <c r="D40" i="1" s="1"/>
  <c r="BI39" i="1" a="1"/>
  <c r="BI39" i="1" s="1"/>
  <c r="F40" i="1" s="1" a="1"/>
  <c r="F40" i="1" s="1"/>
  <c r="BQ39" i="1" l="1"/>
  <c r="BO39" i="1"/>
  <c r="BE40" i="1" a="1"/>
  <c r="BE40" i="1" s="1"/>
  <c r="AW40" i="1" l="1"/>
  <c r="BB40" i="1" s="1" a="1"/>
  <c r="BB40" i="1" s="1"/>
  <c r="BD40" i="1" a="1"/>
  <c r="BD40" i="1" s="1"/>
  <c r="H40" i="1"/>
  <c r="CA39" i="1"/>
  <c r="BS39" i="1"/>
  <c r="AC40" i="1" l="1" a="1"/>
  <c r="AC40" i="1" s="1"/>
  <c r="AE40" i="1" a="1"/>
  <c r="AE40" i="1" s="1"/>
  <c r="CC39" i="1" a="1"/>
  <c r="CC39" i="1" s="1"/>
  <c r="CD39" i="1" s="1"/>
  <c r="C139" i="9"/>
  <c r="D139" i="9" s="1"/>
  <c r="E139" i="9" s="1"/>
  <c r="F139" i="9" s="1"/>
  <c r="A139" i="9" s="1"/>
  <c r="BT39" i="1" a="1"/>
  <c r="BT39" i="1" s="1"/>
  <c r="BU39" i="1" s="1"/>
  <c r="BV39" i="1" s="1"/>
  <c r="D139" i="5"/>
  <c r="AG40" i="1" l="1"/>
  <c r="E139" i="5" a="1"/>
  <c r="E139" i="5" s="1"/>
  <c r="F139" i="5" s="1"/>
  <c r="G139" i="5" l="1"/>
  <c r="A139" i="5" s="1"/>
  <c r="BW39" i="1" a="1"/>
  <c r="BW39" i="1" l="1"/>
  <c r="BX39" i="1" s="1"/>
  <c r="BY39" i="1" s="1"/>
  <c r="P40" i="1" l="1" a="1"/>
  <c r="P40" i="1" s="1"/>
  <c r="L40" i="1" a="1"/>
  <c r="L40" i="1" s="1"/>
  <c r="R40" i="1" a="1"/>
  <c r="R40" i="1" s="1"/>
  <c r="M40" i="1" a="1"/>
  <c r="M40" i="1" s="1"/>
  <c r="Q40" i="1" a="1"/>
  <c r="Q40" i="1" s="1"/>
  <c r="V40" i="1" a="1"/>
  <c r="V40" i="1" s="1"/>
  <c r="T40" i="1" a="1"/>
  <c r="T40" i="1" s="1"/>
  <c r="U40" i="1" a="1"/>
  <c r="U40" i="1" s="1"/>
  <c r="O40" i="1" a="1"/>
  <c r="O40" i="1" s="1"/>
  <c r="W40" i="1" a="1"/>
  <c r="W40" i="1" s="1"/>
  <c r="AO39" i="1"/>
  <c r="Y40" i="1" l="1"/>
  <c r="AK40" i="1" l="1"/>
  <c r="AH40" i="1" l="1"/>
  <c r="Z40" i="1"/>
  <c r="I40" i="1"/>
  <c r="BF40" i="1" s="1" a="1"/>
  <c r="BF40" i="1" s="1"/>
  <c r="BG40" i="1" l="1"/>
  <c r="C40" i="9" s="1" a="1"/>
  <c r="C40" i="9" s="1"/>
  <c r="BJ40" i="1" l="1" a="1"/>
  <c r="BJ40" i="1" s="1"/>
  <c r="C40" i="5" l="1" a="1"/>
  <c r="C40" i="5" s="1"/>
  <c r="D40" i="5" s="1"/>
  <c r="E40" i="5" s="1" a="1"/>
  <c r="E40" i="5" s="1"/>
  <c r="BK40" i="1" a="1"/>
  <c r="BK40" i="1" s="1"/>
  <c r="BL40" i="1" s="1"/>
  <c r="BM40" i="1" s="1"/>
  <c r="D40" i="9"/>
  <c r="E40" i="9" s="1"/>
  <c r="F40" i="9" s="1"/>
  <c r="A40" i="9" s="1"/>
  <c r="F40" i="5" l="1"/>
  <c r="C140" i="5"/>
  <c r="G40" i="5" l="1"/>
  <c r="A40" i="5" s="1"/>
  <c r="BN40" i="1" a="1"/>
  <c r="BN40" i="1" l="1"/>
  <c r="BP40" i="1" s="1"/>
  <c r="BH40" i="1" l="1" a="1"/>
  <c r="BH40" i="1" s="1"/>
  <c r="D41" i="1" s="1" a="1"/>
  <c r="D41" i="1" s="1"/>
  <c r="BI40" i="1" a="1"/>
  <c r="BI40" i="1" s="1"/>
  <c r="F41" i="1" s="1" a="1"/>
  <c r="F41" i="1" s="1"/>
  <c r="BQ40" i="1" l="1"/>
  <c r="BO40" i="1"/>
  <c r="BE41" i="1" a="1"/>
  <c r="BE41" i="1" s="1"/>
  <c r="AW41" i="1" l="1"/>
  <c r="BB41" i="1" s="1" a="1"/>
  <c r="BB41" i="1" s="1"/>
  <c r="BD41" i="1" a="1"/>
  <c r="BD41" i="1" s="1"/>
  <c r="H41" i="1"/>
  <c r="CA40" i="1"/>
  <c r="BS40" i="1"/>
  <c r="AE41" i="1" l="1" a="1"/>
  <c r="AE41" i="1" s="1"/>
  <c r="AC41" i="1" a="1"/>
  <c r="AC41" i="1" s="1"/>
  <c r="CC40" i="1" a="1"/>
  <c r="CC40" i="1" s="1"/>
  <c r="CD40" i="1" s="1"/>
  <c r="D140" i="5"/>
  <c r="E140" i="5" s="1" a="1"/>
  <c r="E140" i="5" s="1"/>
  <c r="F140" i="5" s="1"/>
  <c r="G140" i="5" s="1"/>
  <c r="A140" i="5" s="1"/>
  <c r="BT40" i="1" a="1"/>
  <c r="BT40" i="1" s="1"/>
  <c r="BU40" i="1" s="1"/>
  <c r="BV40" i="1" s="1"/>
  <c r="C140" i="9"/>
  <c r="D140" i="9" s="1"/>
  <c r="E140" i="9" s="1"/>
  <c r="F140" i="9" s="1"/>
  <c r="A140" i="9" s="1"/>
  <c r="BW40" i="1" a="1"/>
  <c r="AG41" i="1" l="1"/>
  <c r="BW40" i="1"/>
  <c r="BX40" i="1" s="1"/>
  <c r="BY40" i="1" s="1"/>
  <c r="Q41" i="1" l="1" a="1"/>
  <c r="Q41" i="1" s="1"/>
  <c r="M41" i="1" a="1"/>
  <c r="M41" i="1" s="1"/>
  <c r="R41" i="1" a="1"/>
  <c r="R41" i="1" s="1"/>
  <c r="P41" i="1" a="1"/>
  <c r="P41" i="1" s="1"/>
  <c r="L41" i="1" a="1"/>
  <c r="L41" i="1" s="1"/>
  <c r="T41" i="1" a="1"/>
  <c r="T41" i="1" s="1"/>
  <c r="V41" i="1" a="1"/>
  <c r="V41" i="1" s="1"/>
  <c r="O41" i="1" a="1"/>
  <c r="O41" i="1" s="1"/>
  <c r="U41" i="1" a="1"/>
  <c r="U41" i="1" s="1"/>
  <c r="W41" i="1" a="1"/>
  <c r="W41" i="1" s="1"/>
  <c r="AO40" i="1"/>
  <c r="Y41" i="1" l="1"/>
  <c r="AK41" i="1" l="1"/>
  <c r="I41" i="1" l="1"/>
  <c r="BF41" i="1" s="1" a="1"/>
  <c r="BF41" i="1" s="1"/>
  <c r="AH41" i="1"/>
  <c r="Z41" i="1"/>
  <c r="BG41" i="1" l="1"/>
  <c r="C41" i="9" s="1" a="1"/>
  <c r="C41" i="9" s="1"/>
  <c r="D41" i="9" l="1"/>
  <c r="E41" i="9" s="1"/>
  <c r="F41" i="9" s="1"/>
  <c r="A41" i="9" s="1"/>
  <c r="BJ41" i="1" a="1"/>
  <c r="BJ41" i="1" s="1"/>
  <c r="C41" i="5" l="1" a="1"/>
  <c r="C41" i="5" s="1"/>
  <c r="D41" i="5" s="1"/>
  <c r="E41" i="5" s="1" a="1"/>
  <c r="E41" i="5" s="1"/>
  <c r="BK41" i="1" a="1"/>
  <c r="BK41" i="1" s="1"/>
  <c r="BL41" i="1" s="1"/>
  <c r="BM41" i="1" s="1"/>
  <c r="C141" i="5" l="1"/>
  <c r="F41" i="5"/>
  <c r="G41" i="5" s="1"/>
  <c r="A41" i="5" s="1"/>
  <c r="BN41" i="1" a="1"/>
  <c r="BN41" i="1" l="1"/>
  <c r="BP41" i="1" s="1"/>
  <c r="BH41" i="1" l="1" a="1"/>
  <c r="BH41" i="1" s="1"/>
  <c r="D42" i="1" s="1" a="1"/>
  <c r="D42" i="1" s="1"/>
  <c r="BI41" i="1" a="1"/>
  <c r="BI41" i="1" s="1"/>
  <c r="F42" i="1" s="1" a="1"/>
  <c r="F42" i="1" s="1"/>
  <c r="BO41" i="1" l="1"/>
  <c r="BQ41" i="1"/>
  <c r="BS41" i="1" s="1"/>
  <c r="BE42" i="1" a="1"/>
  <c r="BE42" i="1" s="1"/>
  <c r="AW42" i="1" l="1"/>
  <c r="BB42" i="1" s="1" a="1"/>
  <c r="BB42" i="1" s="1"/>
  <c r="BD42" i="1" a="1"/>
  <c r="BD42" i="1" s="1"/>
  <c r="H42" i="1"/>
  <c r="CA41" i="1"/>
  <c r="CC41" i="1" l="1" a="1"/>
  <c r="CC41" i="1" s="1"/>
  <c r="CD41" i="1" s="1"/>
  <c r="D141" i="5"/>
  <c r="E141" i="5" s="1" a="1"/>
  <c r="E141" i="5" s="1"/>
  <c r="F141" i="5" s="1"/>
  <c r="G141" i="5" s="1"/>
  <c r="A141" i="5" s="1"/>
  <c r="BT41" i="1" a="1"/>
  <c r="BT41" i="1" s="1"/>
  <c r="BU41" i="1" s="1"/>
  <c r="BV41" i="1" s="1"/>
  <c r="C141" i="9"/>
  <c r="D141" i="9" s="1"/>
  <c r="E141" i="9" s="1"/>
  <c r="F141" i="9" s="1"/>
  <c r="A141" i="9" s="1"/>
  <c r="AC42" i="1" a="1"/>
  <c r="AC42" i="1" s="1"/>
  <c r="AE42" i="1" a="1"/>
  <c r="AE42" i="1" s="1"/>
  <c r="BW41" i="1" a="1"/>
  <c r="BW41" i="1" l="1"/>
  <c r="BX41" i="1" s="1"/>
  <c r="BY41" i="1" s="1"/>
  <c r="AG42" i="1"/>
  <c r="P42" i="1" l="1" a="1"/>
  <c r="P42" i="1" s="1"/>
  <c r="L42" i="1" a="1"/>
  <c r="L42" i="1" s="1"/>
  <c r="Q42" i="1" a="1"/>
  <c r="Q42" i="1" s="1"/>
  <c r="R42" i="1" a="1"/>
  <c r="R42" i="1" s="1"/>
  <c r="M42" i="1" a="1"/>
  <c r="M42" i="1" s="1"/>
  <c r="V42" i="1" a="1"/>
  <c r="V42" i="1" s="1"/>
  <c r="T42" i="1" a="1"/>
  <c r="T42" i="1" s="1"/>
  <c r="O42" i="1" a="1"/>
  <c r="O42" i="1" s="1"/>
  <c r="W42" i="1" a="1"/>
  <c r="W42" i="1" s="1"/>
  <c r="U42" i="1" a="1"/>
  <c r="U42" i="1" s="1"/>
  <c r="AO41" i="1"/>
  <c r="Y42" i="1" l="1"/>
  <c r="AK42" i="1" l="1"/>
  <c r="Z42" i="1" l="1"/>
  <c r="AH42" i="1"/>
  <c r="I42" i="1"/>
  <c r="BF42" i="1" s="1" a="1"/>
  <c r="BF42" i="1" s="1"/>
  <c r="BG42" i="1" l="1"/>
  <c r="C42" i="9" s="1" a="1"/>
  <c r="C42" i="9" s="1"/>
  <c r="D42" i="9" l="1"/>
  <c r="E42" i="9" s="1"/>
  <c r="F42" i="9" s="1"/>
  <c r="A42" i="9" s="1"/>
  <c r="BJ42" i="1" a="1"/>
  <c r="BJ42" i="1" s="1"/>
  <c r="BK42" i="1" l="1" a="1"/>
  <c r="BK42" i="1" s="1"/>
  <c r="BL42" i="1" s="1"/>
  <c r="BM42" i="1" s="1"/>
  <c r="C42" i="5" a="1"/>
  <c r="C42" i="5" s="1"/>
  <c r="D42" i="5" s="1"/>
  <c r="E42" i="5" s="1" a="1"/>
  <c r="E42" i="5" s="1"/>
  <c r="C142" i="5" l="1"/>
  <c r="F42" i="5"/>
  <c r="G42" i="5" l="1"/>
  <c r="A42" i="5" s="1"/>
  <c r="BN42" i="1" a="1"/>
  <c r="BN42" i="1" l="1"/>
  <c r="BP42" i="1" s="1"/>
  <c r="BH42" i="1" l="1" a="1"/>
  <c r="BH42" i="1" s="1"/>
  <c r="D43" i="1" s="1" a="1"/>
  <c r="D43" i="1" s="1"/>
  <c r="BI42" i="1" a="1"/>
  <c r="BI42" i="1" s="1"/>
  <c r="F43" i="1" s="1" a="1"/>
  <c r="F43" i="1" s="1"/>
  <c r="BD43" i="1" l="1" a="1"/>
  <c r="BD43" i="1" s="1"/>
  <c r="BO42" i="1"/>
  <c r="BQ42" i="1"/>
  <c r="BE43" i="1" a="1"/>
  <c r="BE43" i="1" s="1"/>
  <c r="AW43" i="1" l="1"/>
  <c r="BB43" i="1" s="1" a="1"/>
  <c r="BB43" i="1" s="1"/>
  <c r="H43" i="1"/>
  <c r="CA42" i="1"/>
  <c r="BS42" i="1"/>
  <c r="CC42" i="1" l="1" a="1"/>
  <c r="CC42" i="1" s="1"/>
  <c r="CD42" i="1" s="1"/>
  <c r="C142" i="9"/>
  <c r="D142" i="9" s="1"/>
  <c r="E142" i="9" s="1"/>
  <c r="F142" i="9" s="1"/>
  <c r="A142" i="9" s="1"/>
  <c r="BT42" i="1" a="1"/>
  <c r="BT42" i="1" s="1"/>
  <c r="BU42" i="1" s="1"/>
  <c r="BV42" i="1" s="1"/>
  <c r="D142" i="5"/>
  <c r="E142" i="5" s="1" a="1"/>
  <c r="E142" i="5" s="1"/>
  <c r="F142" i="5" s="1"/>
  <c r="G142" i="5" s="1"/>
  <c r="A142" i="5" s="1"/>
  <c r="AC43" i="1" a="1"/>
  <c r="AC43" i="1" s="1"/>
  <c r="AE43" i="1" a="1"/>
  <c r="AE43" i="1" s="1"/>
  <c r="BW42" i="1" a="1"/>
  <c r="BW42" i="1" l="1"/>
  <c r="BX42" i="1" s="1"/>
  <c r="BY42" i="1" s="1"/>
  <c r="AG43" i="1"/>
  <c r="R43" i="1" l="1" a="1"/>
  <c r="R43" i="1" s="1"/>
  <c r="Q43" i="1" a="1"/>
  <c r="Q43" i="1" s="1"/>
  <c r="L43" i="1" a="1"/>
  <c r="L43" i="1" s="1"/>
  <c r="P43" i="1" a="1"/>
  <c r="P43" i="1" s="1"/>
  <c r="M43" i="1" a="1"/>
  <c r="M43" i="1" s="1"/>
  <c r="W43" i="1" a="1"/>
  <c r="W43" i="1" s="1"/>
  <c r="T43" i="1" a="1"/>
  <c r="T43" i="1" s="1"/>
  <c r="U43" i="1" a="1"/>
  <c r="U43" i="1" s="1"/>
  <c r="O43" i="1" a="1"/>
  <c r="O43" i="1" s="1"/>
  <c r="V43" i="1" a="1"/>
  <c r="V43" i="1" s="1"/>
  <c r="AO42" i="1"/>
  <c r="Y43" i="1" l="1"/>
  <c r="AK43" i="1" l="1"/>
  <c r="Z43" i="1" l="1"/>
  <c r="I43" i="1"/>
  <c r="BF43" i="1" s="1" a="1"/>
  <c r="BF43" i="1" s="1"/>
  <c r="AH43" i="1"/>
  <c r="BG43" i="1" l="1"/>
  <c r="C43" i="9" s="1" a="1"/>
  <c r="C43" i="9" s="1"/>
  <c r="BJ43" i="1" l="1" a="1"/>
  <c r="BJ43" i="1" s="1"/>
  <c r="D43" i="9"/>
  <c r="E43" i="9" s="1"/>
  <c r="F43" i="9" s="1"/>
  <c r="A43" i="9" s="1"/>
  <c r="BK43" i="1" l="1" a="1"/>
  <c r="BK43" i="1" s="1"/>
  <c r="BL43" i="1" s="1"/>
  <c r="BM43" i="1" s="1"/>
  <c r="C43" i="5" a="1"/>
  <c r="C43" i="5" s="1"/>
  <c r="D43" i="5" s="1"/>
  <c r="E43" i="5" s="1" a="1"/>
  <c r="E43" i="5" s="1"/>
  <c r="C143" i="5" l="1"/>
  <c r="F43" i="5"/>
  <c r="G43" i="5" s="1"/>
  <c r="A43" i="5" s="1"/>
  <c r="BN43" i="1" a="1"/>
  <c r="BN43" i="1" l="1"/>
  <c r="BP43" i="1" s="1"/>
  <c r="BH43" i="1" l="1" a="1"/>
  <c r="BH43" i="1" s="1"/>
  <c r="D44" i="1" s="1" a="1"/>
  <c r="D44" i="1" s="1"/>
  <c r="BI43" i="1" a="1"/>
  <c r="BI43" i="1" s="1"/>
  <c r="F44" i="1" s="1" a="1"/>
  <c r="F44" i="1" s="1"/>
  <c r="BQ43" i="1" l="1"/>
  <c r="BO43" i="1"/>
  <c r="BE44" i="1" a="1"/>
  <c r="BE44" i="1" s="1"/>
  <c r="AW44" i="1" l="1"/>
  <c r="BB44" i="1" s="1" a="1"/>
  <c r="BB44" i="1" s="1"/>
  <c r="H44" i="1"/>
  <c r="BD44" i="1" a="1"/>
  <c r="BD44" i="1" s="1"/>
  <c r="CA43" i="1"/>
  <c r="BS43" i="1"/>
  <c r="AC44" i="1" l="1" a="1"/>
  <c r="AC44" i="1" s="1"/>
  <c r="AE44" i="1" a="1"/>
  <c r="AE44" i="1" s="1"/>
  <c r="BT43" i="1" a="1"/>
  <c r="BT43" i="1" s="1"/>
  <c r="D143" i="5"/>
  <c r="E143" i="5" s="1" a="1"/>
  <c r="E143" i="5" s="1"/>
  <c r="F143" i="5" s="1"/>
  <c r="G143" i="5" s="1"/>
  <c r="A143" i="5" s="1"/>
  <c r="C143" i="9"/>
  <c r="D143" i="9" s="1"/>
  <c r="E143" i="9" s="1"/>
  <c r="F143" i="9" s="1"/>
  <c r="A143" i="9" s="1"/>
  <c r="CC43" i="1" a="1"/>
  <c r="CC43" i="1" s="1"/>
  <c r="CD43" i="1" s="1"/>
  <c r="BW43" i="1" a="1"/>
  <c r="BW43" i="1" l="1"/>
  <c r="BU43" i="1"/>
  <c r="BV43" i="1" s="1"/>
  <c r="AG44" i="1"/>
  <c r="BX43" i="1" l="1"/>
  <c r="BY43" i="1" s="1"/>
  <c r="P44" i="1" a="1"/>
  <c r="P44" i="1" s="1"/>
  <c r="M44" i="1" a="1"/>
  <c r="M44" i="1" s="1"/>
  <c r="R44" i="1" a="1"/>
  <c r="R44" i="1" s="1"/>
  <c r="L44" i="1" a="1"/>
  <c r="L44" i="1" s="1"/>
  <c r="Q44" i="1" a="1"/>
  <c r="Q44" i="1" s="1"/>
  <c r="T44" i="1" a="1"/>
  <c r="T44" i="1" s="1"/>
  <c r="V44" i="1" a="1"/>
  <c r="V44" i="1" s="1"/>
  <c r="O44" i="1" a="1"/>
  <c r="O44" i="1" s="1"/>
  <c r="U44" i="1" a="1"/>
  <c r="U44" i="1" s="1"/>
  <c r="W44" i="1" a="1"/>
  <c r="W44" i="1" s="1"/>
  <c r="AO43" i="1"/>
  <c r="Y44" i="1" l="1"/>
  <c r="AK44" i="1" l="1"/>
  <c r="AH44" i="1" l="1"/>
  <c r="Z44" i="1"/>
  <c r="I44" i="1"/>
  <c r="BF44" i="1" s="1" a="1"/>
  <c r="BF44" i="1" s="1"/>
  <c r="BG44" i="1" l="1"/>
  <c r="C44" i="9" s="1" a="1"/>
  <c r="C44" i="9" s="1"/>
  <c r="D44" i="9" l="1"/>
  <c r="E44" i="9" s="1"/>
  <c r="F44" i="9" s="1"/>
  <c r="A44" i="9" s="1"/>
  <c r="BJ44" i="1" a="1"/>
  <c r="BJ44" i="1" s="1"/>
  <c r="BK44" i="1" l="1" a="1"/>
  <c r="BK44" i="1" s="1"/>
  <c r="BL44" i="1" s="1"/>
  <c r="BM44" i="1" s="1"/>
  <c r="C44" i="5" a="1"/>
  <c r="C44" i="5" s="1"/>
  <c r="D44" i="5" s="1"/>
  <c r="E44" i="5" s="1" a="1"/>
  <c r="E44" i="5" s="1"/>
  <c r="F44" i="5" l="1"/>
  <c r="C144" i="5"/>
  <c r="G44" i="5" l="1"/>
  <c r="A44" i="5" s="1"/>
  <c r="BN44" i="1" a="1"/>
  <c r="BN44" i="1" l="1"/>
  <c r="BP44" i="1" s="1"/>
  <c r="BH44" i="1" l="1" a="1"/>
  <c r="BH44" i="1" s="1"/>
  <c r="D45" i="1" s="1" a="1"/>
  <c r="D45" i="1" s="1"/>
  <c r="BI44" i="1" a="1"/>
  <c r="BI44" i="1" s="1"/>
  <c r="F45" i="1" s="1" a="1"/>
  <c r="F45" i="1" s="1"/>
  <c r="BQ44" i="1" l="1"/>
  <c r="BO44" i="1"/>
  <c r="BE45" i="1" a="1"/>
  <c r="BE45" i="1" s="1"/>
  <c r="AW45" i="1" l="1"/>
  <c r="BB45" i="1" s="1" a="1"/>
  <c r="BB45" i="1" s="1"/>
  <c r="H45" i="1"/>
  <c r="BD45" i="1" a="1"/>
  <c r="BD45" i="1" s="1"/>
  <c r="CA44" i="1"/>
  <c r="BS44" i="1"/>
  <c r="AC45" i="1" l="1" a="1"/>
  <c r="AC45" i="1" s="1"/>
  <c r="AE45" i="1" a="1"/>
  <c r="AE45" i="1" s="1"/>
  <c r="CC44" i="1" a="1"/>
  <c r="CC44" i="1" s="1"/>
  <c r="CD44" i="1" s="1"/>
  <c r="BT44" i="1" a="1"/>
  <c r="BT44" i="1" s="1"/>
  <c r="BU44" i="1" s="1"/>
  <c r="BV44" i="1" s="1"/>
  <c r="C144" i="9"/>
  <c r="D144" i="9" s="1"/>
  <c r="E144" i="9" s="1"/>
  <c r="F144" i="9" s="1"/>
  <c r="A144" i="9" s="1"/>
  <c r="D144" i="5"/>
  <c r="E144" i="5" s="1" a="1"/>
  <c r="E144" i="5" s="1"/>
  <c r="F144" i="5" s="1"/>
  <c r="G144" i="5" s="1"/>
  <c r="A144" i="5" s="1"/>
  <c r="BW44" i="1" a="1"/>
  <c r="BW44" i="1" l="1"/>
  <c r="BX44" i="1" s="1"/>
  <c r="BY44" i="1" s="1"/>
  <c r="AG45" i="1"/>
  <c r="Q45" i="1" l="1" a="1"/>
  <c r="Q45" i="1" s="1"/>
  <c r="R45" i="1" a="1"/>
  <c r="R45" i="1" s="1"/>
  <c r="L45" i="1" a="1"/>
  <c r="L45" i="1" s="1"/>
  <c r="M45" i="1" a="1"/>
  <c r="M45" i="1" s="1"/>
  <c r="P45" i="1" a="1"/>
  <c r="P45" i="1" s="1"/>
  <c r="O45" i="1" a="1"/>
  <c r="O45" i="1" s="1"/>
  <c r="U45" i="1" a="1"/>
  <c r="U45" i="1" s="1"/>
  <c r="T45" i="1" a="1"/>
  <c r="T45" i="1" s="1"/>
  <c r="V45" i="1" a="1"/>
  <c r="V45" i="1" s="1"/>
  <c r="W45" i="1" a="1"/>
  <c r="W45" i="1" s="1"/>
  <c r="AO44" i="1"/>
  <c r="Y45" i="1" l="1"/>
  <c r="AK45" i="1" l="1"/>
  <c r="AH45" i="1" l="1"/>
  <c r="Z45" i="1"/>
  <c r="I45" i="1"/>
  <c r="BF45" i="1" s="1" a="1"/>
  <c r="BF45" i="1" s="1"/>
  <c r="BG45" i="1" l="1"/>
  <c r="C45" i="9" s="1" a="1"/>
  <c r="C45" i="9" s="1"/>
  <c r="D45" i="9" l="1"/>
  <c r="E45" i="9" s="1"/>
  <c r="F45" i="9" s="1"/>
  <c r="A45" i="9" s="1"/>
  <c r="BJ45" i="1" a="1"/>
  <c r="BJ45" i="1" s="1"/>
  <c r="BK45" i="1" l="1" a="1"/>
  <c r="BK45" i="1" s="1"/>
  <c r="BL45" i="1" s="1"/>
  <c r="BM45" i="1" s="1"/>
  <c r="C45" i="5" a="1"/>
  <c r="C45" i="5" s="1"/>
  <c r="D45" i="5" s="1"/>
  <c r="E45" i="5" s="1" a="1"/>
  <c r="E45" i="5" s="1"/>
  <c r="C145" i="5" l="1"/>
  <c r="F45" i="5"/>
  <c r="G45" i="5" l="1"/>
  <c r="A45" i="5" s="1"/>
  <c r="BN45" i="1" a="1"/>
  <c r="BN45" i="1" l="1"/>
  <c r="BP45" i="1" s="1"/>
  <c r="BH45" i="1" l="1" a="1"/>
  <c r="BH45" i="1" s="1"/>
  <c r="D46" i="1" s="1" a="1"/>
  <c r="D46" i="1" s="1"/>
  <c r="BI45" i="1" a="1"/>
  <c r="BI45" i="1" s="1"/>
  <c r="F46" i="1" s="1" a="1"/>
  <c r="F46" i="1" s="1"/>
  <c r="BO45" i="1" l="1"/>
  <c r="BQ45" i="1"/>
  <c r="BE46" i="1" a="1"/>
  <c r="BE46" i="1" s="1"/>
  <c r="AW46" i="1" l="1"/>
  <c r="BB46" i="1" s="1" a="1"/>
  <c r="BB46" i="1" s="1"/>
  <c r="BD46" i="1" a="1"/>
  <c r="BD46" i="1" s="1"/>
  <c r="H46" i="1"/>
  <c r="CA45" i="1"/>
  <c r="BS45" i="1"/>
  <c r="CC45" i="1" l="1" a="1"/>
  <c r="CC45" i="1" s="1"/>
  <c r="CD45" i="1" s="1"/>
  <c r="D145" i="5"/>
  <c r="E145" i="5" s="1" a="1"/>
  <c r="E145" i="5" s="1"/>
  <c r="F145" i="5" s="1"/>
  <c r="G145" i="5" s="1"/>
  <c r="A145" i="5" s="1"/>
  <c r="BT45" i="1" a="1"/>
  <c r="BT45" i="1" s="1"/>
  <c r="BU45" i="1" s="1"/>
  <c r="BV45" i="1" s="1"/>
  <c r="C145" i="9"/>
  <c r="D145" i="9" s="1"/>
  <c r="E145" i="9" s="1"/>
  <c r="F145" i="9" s="1"/>
  <c r="A145" i="9" s="1"/>
  <c r="AE46" i="1" a="1"/>
  <c r="AE46" i="1" s="1"/>
  <c r="AC46" i="1" a="1"/>
  <c r="AC46" i="1" s="1"/>
  <c r="BW45" i="1" a="1"/>
  <c r="BW45" i="1" l="1"/>
  <c r="BX45" i="1" s="1"/>
  <c r="BY45" i="1" s="1"/>
  <c r="AG46" i="1"/>
  <c r="M46" i="1" l="1" a="1"/>
  <c r="M46" i="1" s="1"/>
  <c r="P46" i="1" a="1"/>
  <c r="P46" i="1" s="1"/>
  <c r="L46" i="1" a="1"/>
  <c r="L46" i="1" s="1"/>
  <c r="R46" i="1" a="1"/>
  <c r="R46" i="1" s="1"/>
  <c r="Q46" i="1" a="1"/>
  <c r="Q46" i="1" s="1"/>
  <c r="V46" i="1" a="1"/>
  <c r="V46" i="1" s="1"/>
  <c r="W46" i="1" a="1"/>
  <c r="W46" i="1" s="1"/>
  <c r="T46" i="1" a="1"/>
  <c r="T46" i="1" s="1"/>
  <c r="O46" i="1" a="1"/>
  <c r="O46" i="1" s="1"/>
  <c r="U46" i="1" a="1"/>
  <c r="U46" i="1" s="1"/>
  <c r="AO45" i="1"/>
  <c r="Y46" i="1" l="1"/>
  <c r="AK46" i="1" l="1"/>
  <c r="Z46" i="1" l="1"/>
  <c r="AH46" i="1"/>
  <c r="I46" i="1"/>
  <c r="BF46" i="1" s="1" a="1"/>
  <c r="BF46" i="1" s="1"/>
  <c r="BG46" i="1" l="1"/>
  <c r="C46" i="9" s="1" a="1"/>
  <c r="C46" i="9" s="1"/>
  <c r="BJ46" i="1" l="1" a="1"/>
  <c r="BJ46" i="1" s="1"/>
  <c r="C46" i="5" l="1" a="1"/>
  <c r="C46" i="5" s="1"/>
  <c r="D46" i="5" s="1"/>
  <c r="E46" i="5" s="1" a="1"/>
  <c r="E46" i="5" s="1"/>
  <c r="BK46" i="1" a="1"/>
  <c r="BK46" i="1" s="1"/>
  <c r="BL46" i="1" s="1"/>
  <c r="BM46" i="1" s="1"/>
  <c r="D46" i="9"/>
  <c r="E46" i="9" s="1"/>
  <c r="F46" i="9" s="1"/>
  <c r="A46" i="9" s="1"/>
  <c r="F46" i="5" l="1"/>
  <c r="G46" i="5" s="1"/>
  <c r="A46" i="5" s="1"/>
  <c r="C146" i="5"/>
  <c r="BN46" i="1" a="1"/>
  <c r="BN46" i="1" l="1"/>
  <c r="BP46" i="1" s="1"/>
  <c r="BH46" i="1" l="1" a="1"/>
  <c r="BH46" i="1" s="1"/>
  <c r="D47" i="1" s="1" a="1"/>
  <c r="D47" i="1" s="1"/>
  <c r="BI46" i="1" a="1"/>
  <c r="BI46" i="1" s="1"/>
  <c r="F47" i="1" s="1" a="1"/>
  <c r="F47" i="1" s="1"/>
  <c r="BO46" i="1" l="1"/>
  <c r="BQ46" i="1"/>
  <c r="BE47" i="1" a="1"/>
  <c r="BE47" i="1" s="1"/>
  <c r="AW47" i="1" l="1"/>
  <c r="BB47" i="1" s="1" a="1"/>
  <c r="BB47" i="1" s="1"/>
  <c r="H47" i="1"/>
  <c r="BD47" i="1" a="1"/>
  <c r="BD47" i="1" s="1"/>
  <c r="CA46" i="1"/>
  <c r="BS46" i="1"/>
  <c r="AE47" i="1" l="1" a="1"/>
  <c r="AE47" i="1" s="1"/>
  <c r="AC47" i="1" a="1"/>
  <c r="AC47" i="1" s="1"/>
  <c r="CC46" i="1" a="1"/>
  <c r="CC46" i="1" s="1"/>
  <c r="CD46" i="1" s="1"/>
  <c r="BT46" i="1" a="1"/>
  <c r="BT46" i="1" s="1"/>
  <c r="BU46" i="1" s="1"/>
  <c r="BV46" i="1" s="1"/>
  <c r="C146" i="9"/>
  <c r="D146" i="5"/>
  <c r="E146" i="5" s="1" a="1"/>
  <c r="E146" i="5" s="1"/>
  <c r="F146" i="5" s="1"/>
  <c r="G146" i="5" s="1"/>
  <c r="A146" i="5" s="1"/>
  <c r="AG47" i="1" l="1"/>
  <c r="D146" i="9"/>
  <c r="E146" i="9" s="1"/>
  <c r="F146" i="9" s="1"/>
  <c r="A146" i="9" s="1"/>
  <c r="BW46" i="1" a="1"/>
  <c r="BW46" i="1" l="1"/>
  <c r="BX46" i="1" s="1"/>
  <c r="BY46" i="1" s="1"/>
  <c r="R47" i="1" s="1" a="1"/>
  <c r="R47" i="1" s="1"/>
  <c r="O47" i="1" a="1"/>
  <c r="O47" i="1" s="1"/>
  <c r="T47" i="1" l="1" a="1"/>
  <c r="T47" i="1" s="1"/>
  <c r="U47" i="1" a="1"/>
  <c r="U47" i="1" s="1"/>
  <c r="Q47" i="1" a="1"/>
  <c r="Q47" i="1" s="1"/>
  <c r="M47" i="1" a="1"/>
  <c r="M47" i="1" s="1"/>
  <c r="W47" i="1" a="1"/>
  <c r="W47" i="1" s="1"/>
  <c r="AO46" i="1"/>
  <c r="P47" i="1" a="1"/>
  <c r="P47" i="1" s="1"/>
  <c r="L47" i="1" a="1"/>
  <c r="L47" i="1" s="1"/>
  <c r="V47" i="1" a="1"/>
  <c r="V47" i="1" s="1"/>
  <c r="Y47" i="1" l="1"/>
  <c r="AK47" i="1" s="1"/>
  <c r="I47" i="1" l="1"/>
  <c r="BF47" i="1" s="1" a="1"/>
  <c r="BF47" i="1" s="1"/>
  <c r="Z47" i="1"/>
  <c r="AH47" i="1"/>
  <c r="BG47" i="1" l="1"/>
  <c r="C47" i="9" s="1" a="1"/>
  <c r="C47" i="9" s="1"/>
  <c r="BJ47" i="1" l="1" a="1"/>
  <c r="BJ47" i="1" s="1"/>
  <c r="D47" i="9"/>
  <c r="E47" i="9" s="1"/>
  <c r="F47" i="9" s="1"/>
  <c r="A47" i="9" s="1"/>
  <c r="C47" i="5" l="1" a="1"/>
  <c r="C47" i="5" s="1"/>
  <c r="D47" i="5" s="1"/>
  <c r="E47" i="5" s="1" a="1"/>
  <c r="E47" i="5" s="1"/>
  <c r="BK47" i="1" a="1"/>
  <c r="BK47" i="1" s="1"/>
  <c r="BL47" i="1" s="1"/>
  <c r="BM47" i="1" s="1"/>
  <c r="C147" i="5" l="1"/>
  <c r="F47" i="5"/>
  <c r="G47" i="5" l="1"/>
  <c r="A47" i="5" s="1"/>
  <c r="BN47" i="1" a="1"/>
  <c r="BN47" i="1" l="1"/>
  <c r="BP47" i="1" s="1"/>
  <c r="BH47" i="1" l="1" a="1"/>
  <c r="BH47" i="1" s="1"/>
  <c r="D48" i="1" s="1" a="1"/>
  <c r="D48" i="1" s="1"/>
  <c r="BI47" i="1" a="1"/>
  <c r="BI47" i="1" s="1"/>
  <c r="F48" i="1" s="1" a="1"/>
  <c r="F48" i="1" s="1"/>
  <c r="BQ47" i="1" l="1"/>
  <c r="BO47" i="1"/>
  <c r="BE48" i="1" a="1"/>
  <c r="BE48" i="1" s="1"/>
  <c r="AW48" i="1" l="1"/>
  <c r="BB48" i="1" s="1" a="1"/>
  <c r="BB48" i="1" s="1"/>
  <c r="BD48" i="1" a="1"/>
  <c r="BD48" i="1" s="1"/>
  <c r="H48" i="1"/>
  <c r="CA47" i="1"/>
  <c r="BS47" i="1"/>
  <c r="AE48" i="1" l="1" a="1"/>
  <c r="AE48" i="1" s="1"/>
  <c r="AC48" i="1" a="1"/>
  <c r="AC48" i="1" s="1"/>
  <c r="C147" i="9"/>
  <c r="D147" i="9" s="1"/>
  <c r="E147" i="9" s="1"/>
  <c r="F147" i="9" s="1"/>
  <c r="A147" i="9" s="1"/>
  <c r="D147" i="5"/>
  <c r="E147" i="5" s="1" a="1"/>
  <c r="E147" i="5" s="1"/>
  <c r="F147" i="5" s="1"/>
  <c r="G147" i="5" s="1"/>
  <c r="A147" i="5" s="1"/>
  <c r="BT47" i="1" a="1"/>
  <c r="BT47" i="1" s="1"/>
  <c r="BU47" i="1" s="1"/>
  <c r="BV47" i="1" s="1"/>
  <c r="CC47" i="1" a="1"/>
  <c r="CC47" i="1" s="1"/>
  <c r="CD47" i="1" s="1"/>
  <c r="BW47" i="1" a="1"/>
  <c r="AG48" i="1" l="1"/>
  <c r="BW47" i="1"/>
  <c r="BX47" i="1" s="1"/>
  <c r="BY47" i="1" s="1"/>
  <c r="Q48" i="1" l="1" a="1"/>
  <c r="Q48" i="1" s="1"/>
  <c r="P48" i="1" a="1"/>
  <c r="P48" i="1" s="1"/>
  <c r="L48" i="1" a="1"/>
  <c r="L48" i="1" s="1"/>
  <c r="R48" i="1" a="1"/>
  <c r="R48" i="1" s="1"/>
  <c r="T48" i="1" a="1"/>
  <c r="T48" i="1" s="1"/>
  <c r="V48" i="1" a="1"/>
  <c r="V48" i="1" s="1"/>
  <c r="W48" i="1" a="1"/>
  <c r="W48" i="1" s="1"/>
  <c r="O48" i="1" a="1"/>
  <c r="O48" i="1" s="1"/>
  <c r="U48" i="1" a="1"/>
  <c r="U48" i="1" s="1"/>
  <c r="M48" i="1" a="1"/>
  <c r="M48" i="1" s="1"/>
  <c r="AO47" i="1"/>
  <c r="Y48" i="1" l="1"/>
  <c r="AK48" i="1" l="1"/>
  <c r="AH48" i="1" l="1"/>
  <c r="I48" i="1"/>
  <c r="BF48" i="1" s="1" a="1"/>
  <c r="BF48" i="1" s="1"/>
  <c r="Z48" i="1"/>
  <c r="BG48" i="1" l="1"/>
  <c r="C48" i="9" s="1" a="1"/>
  <c r="C48" i="9" s="1"/>
  <c r="BJ48" i="1" l="1" a="1"/>
  <c r="BJ48" i="1" s="1"/>
  <c r="BK48" i="1" l="1" a="1"/>
  <c r="BK48" i="1" s="1"/>
  <c r="BL48" i="1" s="1"/>
  <c r="BM48" i="1" s="1"/>
  <c r="C48" i="5" a="1"/>
  <c r="C48" i="5" s="1"/>
  <c r="D48" i="5" s="1"/>
  <c r="E48" i="5" s="1" a="1"/>
  <c r="E48" i="5" s="1"/>
  <c r="D48" i="9"/>
  <c r="E48" i="9" s="1"/>
  <c r="F48" i="9" s="1"/>
  <c r="A48" i="9" s="1"/>
  <c r="C148" i="5" l="1"/>
  <c r="F48" i="5"/>
  <c r="G48" i="5" s="1"/>
  <c r="A48" i="5" s="1"/>
  <c r="BN48" i="1" a="1"/>
  <c r="BN48" i="1" l="1"/>
  <c r="BP48" i="1" s="1"/>
  <c r="BH48" i="1" l="1" a="1"/>
  <c r="BH48" i="1" s="1"/>
  <c r="BI48" i="1" a="1"/>
  <c r="BI48" i="1" s="1"/>
  <c r="F49" i="1" s="1" a="1"/>
  <c r="F49" i="1" s="1"/>
  <c r="D49" i="1" l="1" a="1"/>
  <c r="D49" i="1" s="1"/>
  <c r="BQ48" i="1"/>
  <c r="BO48" i="1"/>
  <c r="BE49" i="1" a="1"/>
  <c r="BE49" i="1" s="1"/>
  <c r="AW49" i="1" l="1"/>
  <c r="BB49" i="1" s="1" a="1"/>
  <c r="BB49" i="1" s="1"/>
  <c r="BD49" i="1" a="1"/>
  <c r="BD49" i="1" s="1"/>
  <c r="H49" i="1"/>
  <c r="CA48" i="1"/>
  <c r="BS48" i="1"/>
  <c r="CC48" i="1" s="1" a="1"/>
  <c r="CC48" i="1" s="1"/>
  <c r="AC49" i="1" l="1" a="1"/>
  <c r="AC49" i="1" s="1"/>
  <c r="AE49" i="1" a="1"/>
  <c r="AE49" i="1" s="1"/>
  <c r="CD48" i="1"/>
  <c r="D148" i="5"/>
  <c r="E148" i="5" s="1" a="1"/>
  <c r="E148" i="5" s="1"/>
  <c r="F148" i="5" s="1"/>
  <c r="G148" i="5" s="1"/>
  <c r="A148" i="5" s="1"/>
  <c r="C148" i="9"/>
  <c r="D148" i="9" s="1"/>
  <c r="E148" i="9" s="1"/>
  <c r="F148" i="9" s="1"/>
  <c r="A148" i="9" s="1"/>
  <c r="BT48" i="1" a="1"/>
  <c r="BT48" i="1" s="1"/>
  <c r="BU48" i="1" s="1"/>
  <c r="BV48" i="1" s="1"/>
  <c r="BW48" i="1" a="1"/>
  <c r="BW48" i="1" l="1"/>
  <c r="BX48" i="1" s="1"/>
  <c r="BY48" i="1" s="1"/>
  <c r="AG49" i="1"/>
  <c r="R49" i="1" l="1" a="1"/>
  <c r="R49" i="1" s="1"/>
  <c r="L49" i="1" a="1"/>
  <c r="L49" i="1" s="1"/>
  <c r="P49" i="1" a="1"/>
  <c r="P49" i="1" s="1"/>
  <c r="M49" i="1" a="1"/>
  <c r="M49" i="1" s="1"/>
  <c r="Q49" i="1" a="1"/>
  <c r="Q49" i="1" s="1"/>
  <c r="O49" i="1" a="1"/>
  <c r="O49" i="1" s="1"/>
  <c r="T49" i="1" a="1"/>
  <c r="T49" i="1" s="1"/>
  <c r="W49" i="1" a="1"/>
  <c r="W49" i="1" s="1"/>
  <c r="V49" i="1" a="1"/>
  <c r="V49" i="1" s="1"/>
  <c r="U49" i="1" a="1"/>
  <c r="U49" i="1" s="1"/>
  <c r="AO48" i="1"/>
  <c r="Y49" i="1" l="1"/>
  <c r="AK49" i="1" l="1"/>
  <c r="Z49" i="1" l="1"/>
  <c r="I49" i="1"/>
  <c r="BF49" i="1" s="1" a="1"/>
  <c r="BF49" i="1" s="1"/>
  <c r="AH49" i="1"/>
  <c r="BG49" i="1" l="1"/>
  <c r="C49" i="9" s="1" a="1"/>
  <c r="C49" i="9" s="1"/>
  <c r="BJ49" i="1" l="1" a="1"/>
  <c r="BJ49" i="1" s="1"/>
  <c r="D49" i="9"/>
  <c r="E49" i="9" s="1"/>
  <c r="F49" i="9" s="1"/>
  <c r="A49" i="9" s="1"/>
  <c r="BK49" i="1" l="1" a="1"/>
  <c r="BK49" i="1" s="1"/>
  <c r="BL49" i="1" s="1"/>
  <c r="BM49" i="1" s="1"/>
  <c r="C49" i="5" a="1"/>
  <c r="C49" i="5" s="1"/>
  <c r="D49" i="5" s="1"/>
  <c r="E49" i="5" s="1" a="1"/>
  <c r="E49" i="5" s="1"/>
  <c r="F49" i="5" l="1"/>
  <c r="G49" i="5" s="1"/>
  <c r="A49" i="5" s="1"/>
  <c r="C149" i="5"/>
  <c r="BN49" i="1" a="1"/>
  <c r="BN49" i="1" l="1"/>
  <c r="BP49" i="1" s="1"/>
  <c r="BH49" i="1" l="1" a="1"/>
  <c r="BH49" i="1" s="1"/>
  <c r="D50" i="1" s="1" a="1"/>
  <c r="D50" i="1" s="1"/>
  <c r="BI49" i="1" a="1"/>
  <c r="BI49" i="1" s="1"/>
  <c r="F50" i="1" s="1" a="1"/>
  <c r="F50" i="1" s="1"/>
  <c r="BQ49" i="1" l="1"/>
  <c r="BO49" i="1"/>
  <c r="BE50" i="1" a="1"/>
  <c r="BE50" i="1" s="1"/>
  <c r="AW50" i="1" l="1"/>
  <c r="BB50" i="1" s="1" a="1"/>
  <c r="BB50" i="1" s="1"/>
  <c r="BD50" i="1" a="1"/>
  <c r="BD50" i="1" s="1"/>
  <c r="H50" i="1"/>
  <c r="CA49" i="1"/>
  <c r="BS49" i="1"/>
  <c r="CC49" i="1" l="1" a="1"/>
  <c r="CC49" i="1" s="1"/>
  <c r="CD49" i="1" s="1"/>
  <c r="BT49" i="1" a="1"/>
  <c r="BT49" i="1" s="1"/>
  <c r="BU49" i="1" s="1"/>
  <c r="BV49" i="1" s="1"/>
  <c r="C149" i="9"/>
  <c r="D149" i="9" s="1"/>
  <c r="E149" i="9" s="1"/>
  <c r="F149" i="9" s="1"/>
  <c r="A149" i="9" s="1"/>
  <c r="D149" i="5"/>
  <c r="E149" i="5" s="1" a="1"/>
  <c r="E149" i="5" s="1"/>
  <c r="F149" i="5" s="1"/>
  <c r="G149" i="5" s="1"/>
  <c r="A149" i="5" s="1"/>
  <c r="AC50" i="1" a="1"/>
  <c r="AC50" i="1" s="1"/>
  <c r="AE50" i="1" a="1"/>
  <c r="AE50" i="1" s="1"/>
  <c r="BW49" i="1" a="1"/>
  <c r="AG50" i="1" l="1"/>
  <c r="BW49" i="1"/>
  <c r="BX49" i="1" s="1"/>
  <c r="BY49" i="1" s="1"/>
  <c r="P50" i="1" l="1" a="1"/>
  <c r="P50" i="1" s="1"/>
  <c r="L50" i="1" a="1"/>
  <c r="L50" i="1" s="1"/>
  <c r="Q50" i="1" a="1"/>
  <c r="Q50" i="1" s="1"/>
  <c r="R50" i="1" a="1"/>
  <c r="R50" i="1" s="1"/>
  <c r="M50" i="1" a="1"/>
  <c r="M50" i="1" s="1"/>
  <c r="T50" i="1" a="1"/>
  <c r="T50" i="1" s="1"/>
  <c r="W50" i="1" a="1"/>
  <c r="W50" i="1" s="1"/>
  <c r="V50" i="1" a="1"/>
  <c r="V50" i="1" s="1"/>
  <c r="O50" i="1" a="1"/>
  <c r="O50" i="1" s="1"/>
  <c r="U50" i="1" a="1"/>
  <c r="U50" i="1" s="1"/>
  <c r="AO49" i="1"/>
  <c r="Y50" i="1" l="1"/>
  <c r="AK50" i="1" l="1"/>
  <c r="I50" i="1" l="1"/>
  <c r="BF50" i="1" s="1" a="1"/>
  <c r="BF50" i="1" s="1"/>
  <c r="Z50" i="1"/>
  <c r="AH50" i="1"/>
  <c r="BG50" i="1" l="1"/>
  <c r="C50" i="9" s="1" a="1"/>
  <c r="C50" i="9" s="1"/>
  <c r="BJ50" i="1" l="1" a="1"/>
  <c r="BJ50" i="1" s="1"/>
  <c r="C50" i="5" l="1" a="1"/>
  <c r="C50" i="5" s="1"/>
  <c r="D50" i="5" s="1"/>
  <c r="E50" i="5" s="1" a="1"/>
  <c r="E50" i="5" s="1"/>
  <c r="BK50" i="1" a="1"/>
  <c r="BK50" i="1" s="1"/>
  <c r="BL50" i="1" s="1"/>
  <c r="BM50" i="1" s="1"/>
  <c r="D50" i="9"/>
  <c r="E50" i="9" s="1"/>
  <c r="F50" i="9" s="1"/>
  <c r="A50" i="9" l="1"/>
  <c r="C150" i="5"/>
  <c r="F50" i="5"/>
  <c r="G50" i="5" l="1"/>
  <c r="A50" i="5" s="1"/>
  <c r="BN50" i="1" a="1"/>
  <c r="BN50" i="1" l="1"/>
  <c r="BP50" i="1" s="1"/>
  <c r="BH50" i="1" l="1" a="1"/>
  <c r="BH50" i="1" s="1"/>
  <c r="D51" i="1" s="1" a="1"/>
  <c r="D51" i="1" s="1"/>
  <c r="BI50" i="1" a="1"/>
  <c r="BI50" i="1" s="1"/>
  <c r="F51" i="1" s="1" a="1"/>
  <c r="F51" i="1" s="1"/>
  <c r="BQ50" i="1" l="1"/>
  <c r="BO50" i="1"/>
  <c r="BE51" i="1" a="1"/>
  <c r="BE51" i="1" s="1"/>
  <c r="AW51" i="1" l="1"/>
  <c r="BB51" i="1" s="1" a="1"/>
  <c r="BB51" i="1" s="1"/>
  <c r="H51" i="1"/>
  <c r="BD51" i="1" a="1"/>
  <c r="BD51" i="1" s="1"/>
  <c r="CA50" i="1"/>
  <c r="BS50" i="1"/>
  <c r="D150" i="5" l="1"/>
  <c r="BT50" i="1" a="1"/>
  <c r="BT50" i="1" s="1"/>
  <c r="BU50" i="1" s="1"/>
  <c r="BV50" i="1" s="1"/>
  <c r="C150" i="9"/>
  <c r="D150" i="9" s="1"/>
  <c r="E150" i="9" s="1"/>
  <c r="F150" i="9" s="1"/>
  <c r="A150" i="9" s="1"/>
  <c r="CC50" i="1" a="1"/>
  <c r="CC50" i="1" s="1"/>
  <c r="CD50" i="1" s="1"/>
  <c r="AC51" i="1" a="1"/>
  <c r="AC51" i="1" s="1"/>
  <c r="AE51" i="1" a="1"/>
  <c r="AE51" i="1" s="1"/>
  <c r="AG51" i="1" l="1"/>
  <c r="E150" i="5" a="1"/>
  <c r="E150" i="5" s="1"/>
  <c r="F150" i="5" s="1"/>
  <c r="G150" i="5" l="1"/>
  <c r="A150" i="5" s="1"/>
  <c r="BW50" i="1" a="1"/>
  <c r="BW50" i="1" l="1"/>
  <c r="BX50" i="1" s="1"/>
  <c r="BY50" i="1" s="1"/>
  <c r="L51" i="1" l="1" a="1"/>
  <c r="L51" i="1" s="1"/>
  <c r="R51" i="1" a="1"/>
  <c r="R51" i="1" s="1"/>
  <c r="Q51" i="1" a="1"/>
  <c r="Q51" i="1" s="1"/>
  <c r="P51" i="1" a="1"/>
  <c r="P51" i="1" s="1"/>
  <c r="W51" i="1" a="1"/>
  <c r="W51" i="1" s="1"/>
  <c r="U51" i="1" a="1"/>
  <c r="U51" i="1" s="1"/>
  <c r="M51" i="1" a="1"/>
  <c r="M51" i="1" s="1"/>
  <c r="V51" i="1" a="1"/>
  <c r="V51" i="1" s="1"/>
  <c r="T51" i="1" a="1"/>
  <c r="T51" i="1" s="1"/>
  <c r="O51" i="1" a="1"/>
  <c r="O51" i="1" s="1"/>
  <c r="AO50" i="1"/>
  <c r="Y51" i="1" l="1"/>
  <c r="AK51" i="1" l="1"/>
  <c r="AH51" i="1" l="1"/>
  <c r="I51" i="1"/>
  <c r="BF51" i="1" s="1" a="1"/>
  <c r="BF51" i="1" s="1"/>
  <c r="Z51" i="1"/>
  <c r="BG51" i="1" l="1"/>
  <c r="C51" i="9" s="1" a="1"/>
  <c r="C51" i="9" s="1"/>
  <c r="BJ51" i="1" l="1" a="1"/>
  <c r="BJ51" i="1" s="1"/>
  <c r="C51" i="5" l="1" a="1"/>
  <c r="C51" i="5" s="1"/>
  <c r="D51" i="5" s="1"/>
  <c r="E51" i="5" s="1" a="1"/>
  <c r="E51" i="5" s="1"/>
  <c r="BK51" i="1" a="1"/>
  <c r="BK51" i="1" s="1"/>
  <c r="BL51" i="1" s="1"/>
  <c r="BM51" i="1" s="1"/>
  <c r="D51" i="9"/>
  <c r="E51" i="9" s="1"/>
  <c r="F51" i="9" s="1"/>
  <c r="A51" i="9" s="1"/>
  <c r="C151" i="5" l="1"/>
  <c r="F51" i="5"/>
  <c r="G51" i="5" s="1"/>
  <c r="A51" i="5" s="1"/>
  <c r="BN51" i="1" a="1"/>
  <c r="BN51" i="1" l="1"/>
  <c r="BP51" i="1" s="1"/>
  <c r="BH51" i="1" l="1" a="1"/>
  <c r="BH51" i="1" s="1"/>
  <c r="D52" i="1" s="1" a="1"/>
  <c r="D52" i="1" s="1"/>
  <c r="BI51" i="1" a="1"/>
  <c r="BI51" i="1" s="1"/>
  <c r="F52" i="1" s="1" a="1"/>
  <c r="F52" i="1" s="1"/>
  <c r="BE52" i="1" l="1" a="1"/>
  <c r="BE52" i="1" s="1"/>
  <c r="BO51" i="1"/>
  <c r="BQ51" i="1"/>
  <c r="CA51" i="1" l="1"/>
  <c r="BS51" i="1"/>
  <c r="AW52" i="1"/>
  <c r="BB52" i="1" s="1" a="1"/>
  <c r="BB52" i="1" s="1"/>
  <c r="H52" i="1"/>
  <c r="BD52" i="1" a="1"/>
  <c r="BD52" i="1" s="1"/>
  <c r="C151" i="9" l="1"/>
  <c r="D151" i="9" s="1"/>
  <c r="E151" i="9" s="1"/>
  <c r="F151" i="9" s="1"/>
  <c r="A151" i="9" s="1"/>
  <c r="D151" i="5"/>
  <c r="E151" i="5" s="1" a="1"/>
  <c r="E151" i="5" s="1"/>
  <c r="F151" i="5" s="1"/>
  <c r="G151" i="5" s="1"/>
  <c r="A151" i="5" s="1"/>
  <c r="BT51" i="1" a="1"/>
  <c r="BT51" i="1" s="1"/>
  <c r="CC51" i="1" a="1"/>
  <c r="CC51" i="1" s="1"/>
  <c r="CD51" i="1" s="1"/>
  <c r="AC52" i="1" a="1"/>
  <c r="AC52" i="1" s="1"/>
  <c r="AE52" i="1" a="1"/>
  <c r="AE52" i="1" s="1"/>
  <c r="BW51" i="1" a="1"/>
  <c r="AG52" i="1" l="1"/>
  <c r="BW51" i="1"/>
  <c r="BU51" i="1"/>
  <c r="BV51" i="1" s="1"/>
  <c r="BX51" i="1" l="1"/>
  <c r="BY51" i="1" s="1"/>
  <c r="L52" i="1" s="1" a="1"/>
  <c r="L52" i="1" s="1"/>
  <c r="R52" i="1" a="1"/>
  <c r="R52" i="1" s="1"/>
  <c r="Q52" i="1" a="1"/>
  <c r="Q52" i="1" s="1"/>
  <c r="V52" i="1" a="1"/>
  <c r="V52" i="1" s="1"/>
  <c r="AO51" i="1"/>
  <c r="U52" i="1" l="1" a="1"/>
  <c r="U52" i="1" s="1"/>
  <c r="O52" i="1" a="1"/>
  <c r="O52" i="1" s="1"/>
  <c r="T52" i="1" a="1"/>
  <c r="T52" i="1" s="1"/>
  <c r="W52" i="1" a="1"/>
  <c r="W52" i="1" s="1"/>
  <c r="P52" i="1" a="1"/>
  <c r="P52" i="1" s="1"/>
  <c r="M52" i="1" a="1"/>
  <c r="M52" i="1" s="1"/>
  <c r="Y52" i="1" l="1"/>
  <c r="AK52" i="1" s="1"/>
  <c r="AH52" i="1" l="1"/>
  <c r="Z52" i="1"/>
  <c r="I52" i="1"/>
  <c r="BF52" i="1" s="1" a="1"/>
  <c r="BF52" i="1" s="1"/>
  <c r="BG52" i="1" l="1"/>
  <c r="C52" i="9" s="1" a="1"/>
  <c r="C52" i="9" s="1"/>
  <c r="BJ52" i="1" l="1" a="1"/>
  <c r="BJ52" i="1" s="1"/>
  <c r="BK52" i="1" s="1" a="1"/>
  <c r="BK52" i="1" s="1"/>
  <c r="BL52" i="1" s="1"/>
  <c r="BM52" i="1" s="1"/>
  <c r="D52" i="9"/>
  <c r="E52" i="9" s="1"/>
  <c r="F52" i="9" s="1"/>
  <c r="AW53" i="1"/>
  <c r="BB53" i="1" s="1" a="1"/>
  <c r="BB53" i="1" s="1"/>
  <c r="C52" i="5" l="1" a="1"/>
  <c r="C52" i="5" s="1"/>
  <c r="D52" i="5" s="1"/>
  <c r="E52" i="5" s="1" a="1"/>
  <c r="E52" i="5" s="1"/>
  <c r="A52" i="9"/>
  <c r="C152" i="5" l="1"/>
  <c r="F52" i="5"/>
  <c r="G52" i="5" s="1"/>
  <c r="A52" i="5" s="1"/>
  <c r="BN52" i="1" a="1"/>
  <c r="BN52" i="1" l="1"/>
  <c r="BP52" i="1" s="1"/>
  <c r="BH52" i="1" l="1" a="1"/>
  <c r="BH52" i="1" s="1"/>
  <c r="D53" i="1" s="1" a="1"/>
  <c r="D53" i="1" s="1"/>
  <c r="BI52" i="1" a="1"/>
  <c r="BI52" i="1" s="1"/>
  <c r="F53" i="1" s="1" a="1"/>
  <c r="F53" i="1" s="1"/>
  <c r="BO52" i="1" l="1"/>
  <c r="BQ52" i="1"/>
  <c r="CA52" i="1" s="1"/>
  <c r="BE53" i="1" a="1"/>
  <c r="BE53" i="1" s="1"/>
  <c r="BD53" i="1" a="1"/>
  <c r="BD53" i="1" s="1"/>
  <c r="H53" i="1"/>
  <c r="BS52" i="1" l="1"/>
  <c r="C152" i="9" s="1"/>
  <c r="AE53" i="1" a="1"/>
  <c r="AE53" i="1" s="1"/>
  <c r="AC53" i="1" a="1"/>
  <c r="AC53" i="1" s="1"/>
  <c r="CC52" i="1" l="1" a="1"/>
  <c r="CC52" i="1" s="1"/>
  <c r="CD52" i="1" s="1"/>
  <c r="D152" i="5"/>
  <c r="E152" i="5" s="1" a="1"/>
  <c r="E152" i="5" s="1"/>
  <c r="F152" i="5" s="1"/>
  <c r="G152" i="5" s="1"/>
  <c r="A152" i="5" s="1"/>
  <c r="BT52" i="1" a="1"/>
  <c r="BT52" i="1" s="1"/>
  <c r="BU52" i="1" s="1"/>
  <c r="AG53" i="1"/>
  <c r="D152" i="9"/>
  <c r="BV52" i="1" l="1"/>
  <c r="E152" i="9"/>
  <c r="F152" i="9" s="1"/>
  <c r="A152" i="9" s="1"/>
  <c r="AW54" i="1"/>
  <c r="BB54" i="1" s="1" a="1"/>
  <c r="BB54" i="1" s="1"/>
  <c r="BW52" i="1" a="1"/>
  <c r="BW52" i="1" l="1"/>
  <c r="BX52" i="1" s="1"/>
  <c r="BY52" i="1" s="1"/>
  <c r="V53" i="1" l="1" a="1"/>
  <c r="V53" i="1" s="1"/>
  <c r="O53" i="1" a="1"/>
  <c r="O53" i="1" s="1"/>
  <c r="Q53" i="1" a="1"/>
  <c r="Q53" i="1" s="1"/>
  <c r="U53" i="1" a="1"/>
  <c r="U53" i="1" s="1"/>
  <c r="P53" i="1" a="1"/>
  <c r="P53" i="1" s="1"/>
  <c r="L53" i="1" a="1"/>
  <c r="L53" i="1" s="1"/>
  <c r="R53" i="1" a="1"/>
  <c r="R53" i="1" s="1"/>
  <c r="T53" i="1" a="1"/>
  <c r="T53" i="1" s="1"/>
  <c r="M53" i="1" a="1"/>
  <c r="M53" i="1" s="1"/>
  <c r="W53" i="1" a="1"/>
  <c r="W53" i="1" s="1"/>
  <c r="AO52" i="1"/>
  <c r="Y53" i="1" l="1"/>
  <c r="AK53" i="1" s="1"/>
  <c r="I53" i="1" s="1"/>
  <c r="BF53" i="1" s="1" a="1"/>
  <c r="BF53" i="1" s="1"/>
  <c r="AH53" i="1" l="1"/>
  <c r="Z53" i="1"/>
  <c r="BG53" i="1"/>
  <c r="C53" i="9" s="1" a="1"/>
  <c r="C53" i="9" s="1"/>
  <c r="BJ53" i="1" l="1" a="1"/>
  <c r="BJ53" i="1" s="1"/>
  <c r="D53" i="9"/>
  <c r="E53" i="9" s="1"/>
  <c r="F53" i="9" s="1"/>
  <c r="A53" i="9" s="1"/>
  <c r="BK53" i="1" l="1" a="1"/>
  <c r="BK53" i="1" s="1"/>
  <c r="BL53" i="1" s="1"/>
  <c r="BM53" i="1" s="1"/>
  <c r="C53" i="5" a="1"/>
  <c r="C53" i="5" s="1"/>
  <c r="D53" i="5" s="1"/>
  <c r="E53" i="5" s="1" a="1"/>
  <c r="E53" i="5" s="1"/>
  <c r="F53" i="5" l="1"/>
  <c r="G53" i="5" s="1"/>
  <c r="A53" i="5" s="1"/>
  <c r="C153" i="5"/>
  <c r="BN53" i="1" a="1"/>
  <c r="BN53" i="1" l="1"/>
  <c r="BP53" i="1" s="1"/>
  <c r="BH53" i="1" l="1" a="1"/>
  <c r="BH53" i="1" s="1"/>
  <c r="D54" i="1" s="1" a="1"/>
  <c r="D54" i="1" s="1"/>
  <c r="BI53" i="1" a="1"/>
  <c r="BI53" i="1" s="1"/>
  <c r="F54" i="1" s="1" a="1"/>
  <c r="F54" i="1" s="1"/>
  <c r="AW55" i="1"/>
  <c r="BB55" i="1" s="1" a="1"/>
  <c r="BB55" i="1" s="1"/>
  <c r="BO53" i="1" l="1"/>
  <c r="BQ53" i="1"/>
  <c r="BE54" i="1" a="1"/>
  <c r="BE54" i="1" s="1"/>
  <c r="BD54" i="1" l="1" a="1"/>
  <c r="BD54" i="1" s="1"/>
  <c r="H54" i="1"/>
  <c r="CA53" i="1"/>
  <c r="BS53" i="1"/>
  <c r="AE54" i="1" l="1" a="1"/>
  <c r="AE54" i="1" s="1"/>
  <c r="AC54" i="1" a="1"/>
  <c r="AC54" i="1" s="1"/>
  <c r="C153" i="9"/>
  <c r="D153" i="9" s="1"/>
  <c r="E153" i="9" s="1"/>
  <c r="F153" i="9" s="1"/>
  <c r="A153" i="9" s="1"/>
  <c r="BT53" i="1" a="1"/>
  <c r="BT53" i="1" s="1"/>
  <c r="D153" i="5"/>
  <c r="CC53" i="1" a="1"/>
  <c r="CC53" i="1" s="1"/>
  <c r="CD53" i="1" s="1"/>
  <c r="AG54" i="1" l="1"/>
  <c r="BU53" i="1"/>
  <c r="BV53" i="1" s="1"/>
  <c r="E153" i="5" a="1"/>
  <c r="E153" i="5" s="1"/>
  <c r="F153" i="5" l="1"/>
  <c r="G153" i="5" s="1"/>
  <c r="A153" i="5" s="1"/>
  <c r="BW53" i="1" a="1"/>
  <c r="BW53" i="1" l="1"/>
  <c r="BX53" i="1" s="1"/>
  <c r="BY53" i="1" s="1"/>
  <c r="R54" i="1" l="1" a="1"/>
  <c r="R54" i="1" s="1"/>
  <c r="P54" i="1" a="1"/>
  <c r="P54" i="1" s="1"/>
  <c r="Q54" i="1" a="1"/>
  <c r="Q54" i="1" s="1"/>
  <c r="V54" i="1" a="1"/>
  <c r="V54" i="1" s="1"/>
  <c r="M54" i="1" a="1"/>
  <c r="M54" i="1" s="1"/>
  <c r="L54" i="1" a="1"/>
  <c r="L54" i="1" s="1"/>
  <c r="W54" i="1" a="1"/>
  <c r="W54" i="1" s="1"/>
  <c r="O54" i="1" a="1"/>
  <c r="O54" i="1" s="1"/>
  <c r="T54" i="1" a="1"/>
  <c r="T54" i="1" s="1"/>
  <c r="U54" i="1" a="1"/>
  <c r="U54" i="1" s="1"/>
  <c r="AO53" i="1"/>
  <c r="Y54" i="1" l="1"/>
  <c r="AW56" i="1"/>
  <c r="BB56" i="1" s="1" a="1"/>
  <c r="BB56" i="1" s="1"/>
  <c r="AK54" i="1" l="1"/>
  <c r="I54" i="1" l="1"/>
  <c r="BF54" i="1" s="1" a="1"/>
  <c r="BF54" i="1" s="1"/>
  <c r="AH54" i="1"/>
  <c r="Z54" i="1"/>
  <c r="BG54" i="1" l="1"/>
  <c r="C54" i="9" s="1" a="1"/>
  <c r="C54" i="9" s="1"/>
  <c r="D54" i="9" l="1"/>
  <c r="E54" i="9" s="1"/>
  <c r="F54" i="9" s="1"/>
  <c r="A54" i="9" s="1"/>
  <c r="BJ54" i="1" a="1"/>
  <c r="BJ54" i="1" s="1"/>
  <c r="BK54" i="1" l="1" a="1"/>
  <c r="BK54" i="1" s="1"/>
  <c r="C54" i="5" a="1"/>
  <c r="C54" i="5" s="1"/>
  <c r="D54" i="5" s="1"/>
  <c r="E54" i="5" s="1" a="1"/>
  <c r="E54" i="5" s="1"/>
  <c r="C154" i="5" l="1"/>
  <c r="F54" i="5"/>
  <c r="G54" i="5" s="1"/>
  <c r="A54" i="5" s="1"/>
  <c r="BL54" i="1"/>
  <c r="BM54" i="1" s="1"/>
  <c r="BN54" i="1" a="1"/>
  <c r="BN54" i="1" l="1"/>
  <c r="BP54" i="1" s="1"/>
  <c r="BH54" i="1" l="1" a="1"/>
  <c r="BH54" i="1" s="1"/>
  <c r="D55" i="1" s="1" a="1"/>
  <c r="D55" i="1" s="1"/>
  <c r="BI54" i="1" a="1"/>
  <c r="BI54" i="1" s="1"/>
  <c r="F55" i="1" s="1" a="1"/>
  <c r="F55" i="1" s="1"/>
  <c r="BQ54" i="1" l="1"/>
  <c r="BO54" i="1"/>
  <c r="BE55" i="1" a="1"/>
  <c r="BE55" i="1" s="1"/>
  <c r="AW57" i="1"/>
  <c r="BB57" i="1" s="1" a="1"/>
  <c r="BB57" i="1" s="1"/>
  <c r="H55" i="1" l="1"/>
  <c r="BD55" i="1" a="1"/>
  <c r="BD55" i="1" s="1"/>
  <c r="CA54" i="1"/>
  <c r="BS54" i="1"/>
  <c r="C154" i="9" l="1"/>
  <c r="BT54" i="1" a="1"/>
  <c r="BT54" i="1" s="1"/>
  <c r="D154" i="5"/>
  <c r="CC54" i="1" a="1"/>
  <c r="CC54" i="1" s="1"/>
  <c r="CD54" i="1" s="1"/>
  <c r="AC55" i="1" a="1"/>
  <c r="AC55" i="1" s="1"/>
  <c r="AE55" i="1" a="1"/>
  <c r="AE55" i="1" s="1"/>
  <c r="AG55" i="1" l="1"/>
  <c r="BU54" i="1"/>
  <c r="BV54" i="1" s="1"/>
  <c r="E154" i="5" a="1"/>
  <c r="E154" i="5" s="1"/>
  <c r="D154" i="9"/>
  <c r="E154" i="9" l="1"/>
  <c r="F154" i="9"/>
  <c r="A154" i="9" s="1"/>
  <c r="F154" i="5"/>
  <c r="G154" i="5" s="1"/>
  <c r="A154" i="5" s="1"/>
  <c r="BW54" i="1" a="1"/>
  <c r="BW54" i="1" l="1"/>
  <c r="BX54" i="1" s="1"/>
  <c r="BY54" i="1" s="1"/>
  <c r="L55" i="1" l="1" a="1"/>
  <c r="L55" i="1" s="1"/>
  <c r="Q55" i="1" a="1"/>
  <c r="Q55" i="1" s="1"/>
  <c r="P55" i="1" a="1"/>
  <c r="P55" i="1" s="1"/>
  <c r="R55" i="1" a="1"/>
  <c r="R55" i="1" s="1"/>
  <c r="M55" i="1" a="1"/>
  <c r="M55" i="1" s="1"/>
  <c r="O55" i="1" a="1"/>
  <c r="O55" i="1" s="1"/>
  <c r="U55" i="1" a="1"/>
  <c r="U55" i="1" s="1"/>
  <c r="W55" i="1" a="1"/>
  <c r="W55" i="1" s="1"/>
  <c r="V55" i="1" a="1"/>
  <c r="V55" i="1" s="1"/>
  <c r="T55" i="1" a="1"/>
  <c r="T55" i="1" s="1"/>
  <c r="AO54" i="1"/>
  <c r="Y55" i="1" l="1"/>
  <c r="AK55" i="1" l="1"/>
  <c r="I55" i="1" l="1"/>
  <c r="BF55" i="1" s="1" a="1"/>
  <c r="BF55" i="1" s="1"/>
  <c r="Z55" i="1"/>
  <c r="AH55" i="1"/>
  <c r="AW58" i="1"/>
  <c r="BB58" i="1" s="1" a="1"/>
  <c r="BB58" i="1" s="1"/>
  <c r="BG55" i="1" l="1"/>
  <c r="C55" i="9" s="1" a="1"/>
  <c r="C55" i="9" s="1"/>
  <c r="D55" i="9" l="1"/>
  <c r="E55" i="9" s="1"/>
  <c r="F55" i="9" s="1"/>
  <c r="A55" i="9" s="1"/>
  <c r="BJ55" i="1" a="1"/>
  <c r="BJ55" i="1" s="1"/>
  <c r="C55" i="5" l="1" a="1"/>
  <c r="C55" i="5" s="1"/>
  <c r="D55" i="5" s="1"/>
  <c r="E55" i="5" s="1" a="1"/>
  <c r="E55" i="5" s="1"/>
  <c r="BK55" i="1" a="1"/>
  <c r="BK55" i="1" s="1"/>
  <c r="BL55" i="1" s="1"/>
  <c r="BM55" i="1" s="1"/>
  <c r="C155" i="5" l="1"/>
  <c r="F55" i="5"/>
  <c r="G55" i="5" s="1"/>
  <c r="A55" i="5" s="1"/>
  <c r="BN55" i="1" a="1"/>
  <c r="BN55" i="1" l="1"/>
  <c r="BP55" i="1" s="1"/>
  <c r="BH55" i="1" l="1" a="1"/>
  <c r="BH55" i="1" s="1"/>
  <c r="D56" i="1" s="1" a="1"/>
  <c r="D56" i="1" s="1"/>
  <c r="BI55" i="1" a="1"/>
  <c r="BI55" i="1" s="1"/>
  <c r="F56" i="1" s="1" a="1"/>
  <c r="F56" i="1" s="1"/>
  <c r="BQ55" i="1" l="1"/>
  <c r="BO55" i="1"/>
  <c r="BE56" i="1" a="1"/>
  <c r="BE56" i="1" s="1"/>
  <c r="BD56" i="1" l="1" a="1"/>
  <c r="BD56" i="1" s="1"/>
  <c r="H56" i="1"/>
  <c r="CA55" i="1"/>
  <c r="BS55" i="1"/>
  <c r="AC56" i="1" l="1" a="1"/>
  <c r="AC56" i="1" s="1"/>
  <c r="AE56" i="1" a="1"/>
  <c r="AE56" i="1" s="1"/>
  <c r="BT55" i="1" a="1"/>
  <c r="BT55" i="1" s="1"/>
  <c r="BU55" i="1" s="1"/>
  <c r="C155" i="9"/>
  <c r="D155" i="5"/>
  <c r="CC55" i="1" a="1"/>
  <c r="CC55" i="1" s="1"/>
  <c r="CD55" i="1" s="1"/>
  <c r="AG56" i="1" l="1"/>
  <c r="E155" i="5" a="1"/>
  <c r="E155" i="5" s="1"/>
  <c r="D155" i="9"/>
  <c r="BV55" i="1"/>
  <c r="E155" i="9" l="1"/>
  <c r="F155" i="9" s="1"/>
  <c r="A155" i="9" s="1"/>
  <c r="F155" i="5"/>
  <c r="G155" i="5" s="1"/>
  <c r="A155" i="5" s="1"/>
  <c r="BW55" i="1" a="1"/>
  <c r="BW55" i="1" l="1"/>
  <c r="BX55" i="1" s="1"/>
  <c r="BY55" i="1" s="1"/>
  <c r="R56" i="1" l="1" a="1"/>
  <c r="R56" i="1" s="1"/>
  <c r="P56" i="1" a="1"/>
  <c r="P56" i="1" s="1"/>
  <c r="Q56" i="1" a="1"/>
  <c r="Q56" i="1" s="1"/>
  <c r="L56" i="1" a="1"/>
  <c r="L56" i="1" s="1"/>
  <c r="W56" i="1" a="1"/>
  <c r="W56" i="1" s="1"/>
  <c r="U56" i="1" a="1"/>
  <c r="U56" i="1" s="1"/>
  <c r="O56" i="1" a="1"/>
  <c r="O56" i="1" s="1"/>
  <c r="V56" i="1" a="1"/>
  <c r="V56" i="1" s="1"/>
  <c r="T56" i="1" a="1"/>
  <c r="T56" i="1" s="1"/>
  <c r="M56" i="1" a="1"/>
  <c r="M56" i="1" s="1"/>
  <c r="AO55" i="1"/>
  <c r="AW59" i="1"/>
  <c r="BB59" i="1" s="1" a="1"/>
  <c r="BB59" i="1" s="1"/>
  <c r="Y56" i="1" l="1"/>
  <c r="AK56" i="1" l="1"/>
  <c r="I56" i="1" l="1"/>
  <c r="BF56" i="1" s="1" a="1"/>
  <c r="BF56" i="1" s="1"/>
  <c r="AH56" i="1"/>
  <c r="Z56" i="1"/>
  <c r="BG56" i="1" l="1"/>
  <c r="C56" i="9" s="1" a="1"/>
  <c r="C56" i="9" s="1"/>
  <c r="BJ56" i="1" l="1" a="1"/>
  <c r="BJ56" i="1" s="1"/>
  <c r="D56" i="9"/>
  <c r="E56" i="9" s="1"/>
  <c r="F56" i="9" s="1"/>
  <c r="A56" i="9" s="1"/>
  <c r="C56" i="5" l="1" a="1"/>
  <c r="C56" i="5" s="1"/>
  <c r="D56" i="5" s="1"/>
  <c r="E56" i="5" s="1" a="1"/>
  <c r="E56" i="5" s="1"/>
  <c r="BK56" i="1" a="1"/>
  <c r="BK56" i="1" s="1"/>
  <c r="BL56" i="1" s="1"/>
  <c r="BM56" i="1" s="1"/>
  <c r="C156" i="5" l="1"/>
  <c r="F56" i="5"/>
  <c r="G56" i="5" l="1"/>
  <c r="A56" i="5" s="1"/>
  <c r="BN56" i="1" a="1"/>
  <c r="BN56" i="1" l="1"/>
  <c r="BP56" i="1" s="1"/>
  <c r="BH56" i="1" l="1" a="1"/>
  <c r="BH56" i="1" s="1"/>
  <c r="D57" i="1" s="1" a="1"/>
  <c r="D57" i="1" s="1"/>
  <c r="BI56" i="1" a="1"/>
  <c r="BI56" i="1" s="1"/>
  <c r="F57" i="1" s="1" a="1"/>
  <c r="F57" i="1" s="1"/>
  <c r="BO56" i="1" l="1"/>
  <c r="BQ56" i="1"/>
  <c r="BE57" i="1" a="1"/>
  <c r="BE57" i="1" s="1"/>
  <c r="H57" i="1" l="1"/>
  <c r="BD57" i="1" a="1"/>
  <c r="BD57" i="1" s="1"/>
  <c r="CA56" i="1"/>
  <c r="BS56" i="1"/>
  <c r="D156" i="5" l="1"/>
  <c r="BT56" i="1" a="1"/>
  <c r="BT56" i="1" s="1"/>
  <c r="C156" i="9"/>
  <c r="CC56" i="1" a="1"/>
  <c r="CC56" i="1" s="1"/>
  <c r="CD56" i="1" s="1"/>
  <c r="AE57" i="1" a="1"/>
  <c r="AE57" i="1" s="1"/>
  <c r="AC57" i="1" a="1"/>
  <c r="AC57" i="1" s="1"/>
  <c r="AG57" i="1" l="1"/>
  <c r="BU56" i="1"/>
  <c r="BV56" i="1" s="1"/>
  <c r="E156" i="5" a="1"/>
  <c r="E156" i="5" s="1"/>
  <c r="F156" i="5" s="1"/>
  <c r="D156" i="9"/>
  <c r="G156" i="5" l="1"/>
  <c r="A156" i="5" s="1"/>
  <c r="E156" i="9"/>
  <c r="F156" i="9" s="1"/>
  <c r="A156" i="9" s="1"/>
  <c r="BW56" i="1" a="1"/>
  <c r="BW56" i="1" l="1"/>
  <c r="BX56" i="1" s="1"/>
  <c r="BY56" i="1" s="1"/>
  <c r="AW60" i="1"/>
  <c r="BB60" i="1" s="1" a="1"/>
  <c r="BB60" i="1" s="1"/>
  <c r="M57" i="1" l="1" a="1"/>
  <c r="M57" i="1" s="1"/>
  <c r="L57" i="1" a="1"/>
  <c r="L57" i="1" s="1"/>
  <c r="R57" i="1" a="1"/>
  <c r="R57" i="1" s="1"/>
  <c r="Q57" i="1" a="1"/>
  <c r="Q57" i="1" s="1"/>
  <c r="P57" i="1" a="1"/>
  <c r="P57" i="1" s="1"/>
  <c r="U57" i="1" a="1"/>
  <c r="U57" i="1" s="1"/>
  <c r="V57" i="1" a="1"/>
  <c r="V57" i="1" s="1"/>
  <c r="T57" i="1" a="1"/>
  <c r="T57" i="1" s="1"/>
  <c r="W57" i="1" a="1"/>
  <c r="W57" i="1" s="1"/>
  <c r="O57" i="1" a="1"/>
  <c r="O57" i="1" s="1"/>
  <c r="AO56" i="1"/>
  <c r="Y57" i="1" l="1"/>
  <c r="AK57" i="1" l="1"/>
  <c r="Z57" i="1" l="1"/>
  <c r="AH57" i="1"/>
  <c r="I57" i="1"/>
  <c r="BF57" i="1" s="1" a="1"/>
  <c r="BF57" i="1" s="1"/>
  <c r="BG57" i="1" l="1"/>
  <c r="C57" i="9" s="1" a="1"/>
  <c r="C57" i="9" s="1"/>
  <c r="D57" i="9" l="1"/>
  <c r="E57" i="9" s="1"/>
  <c r="F57" i="9" s="1"/>
  <c r="A57" i="9" s="1"/>
  <c r="BJ57" i="1" a="1"/>
  <c r="BJ57" i="1" s="1"/>
  <c r="C57" i="5" l="1" a="1"/>
  <c r="C57" i="5" s="1"/>
  <c r="D57" i="5" s="1"/>
  <c r="E57" i="5" s="1" a="1"/>
  <c r="E57" i="5" s="1"/>
  <c r="BK57" i="1" a="1"/>
  <c r="BK57" i="1" s="1"/>
  <c r="BL57" i="1" s="1"/>
  <c r="BM57" i="1" s="1"/>
  <c r="F57" i="5" l="1"/>
  <c r="G57" i="5" s="1"/>
  <c r="A57" i="5" s="1"/>
  <c r="C157" i="5"/>
  <c r="BN57" i="1" a="1"/>
  <c r="BN57" i="1" l="1"/>
  <c r="BP57" i="1" s="1"/>
  <c r="BH57" i="1" l="1" a="1"/>
  <c r="BH57" i="1" s="1"/>
  <c r="D58" i="1" s="1" a="1"/>
  <c r="D58" i="1" s="1"/>
  <c r="BI57" i="1" a="1"/>
  <c r="BI57" i="1" s="1"/>
  <c r="F58" i="1" s="1" a="1"/>
  <c r="F58" i="1" s="1"/>
  <c r="BQ57" i="1" l="1"/>
  <c r="BO57" i="1"/>
  <c r="BE58" i="1" a="1"/>
  <c r="BE58" i="1" s="1"/>
  <c r="BD58" i="1" l="1" a="1"/>
  <c r="BD58" i="1" s="1"/>
  <c r="H58" i="1"/>
  <c r="CA57" i="1"/>
  <c r="BS57" i="1"/>
  <c r="D157" i="5" l="1"/>
  <c r="C157" i="9"/>
  <c r="BT57" i="1" a="1"/>
  <c r="BT57" i="1" s="1"/>
  <c r="CC57" i="1" a="1"/>
  <c r="CC57" i="1" s="1"/>
  <c r="CD57" i="1" s="1"/>
  <c r="AC58" i="1" a="1"/>
  <c r="AC58" i="1" s="1"/>
  <c r="AE58" i="1" a="1"/>
  <c r="AE58" i="1" s="1"/>
  <c r="AG58" i="1" l="1"/>
  <c r="D157" i="9"/>
  <c r="E157" i="5" a="1"/>
  <c r="E157" i="5" s="1"/>
  <c r="BU57" i="1"/>
  <c r="BV57" i="1" s="1"/>
  <c r="E157" i="9" l="1"/>
  <c r="F157" i="9" s="1"/>
  <c r="A157" i="9" s="1"/>
  <c r="F157" i="5"/>
  <c r="G157" i="5" s="1"/>
  <c r="A157" i="5" s="1"/>
  <c r="BW57" i="1" a="1"/>
  <c r="BW57" i="1" l="1"/>
  <c r="BX57" i="1" s="1"/>
  <c r="BY57" i="1" s="1"/>
  <c r="P58" i="1" l="1" a="1"/>
  <c r="P58" i="1" s="1"/>
  <c r="Q58" i="1" a="1"/>
  <c r="Q58" i="1" s="1"/>
  <c r="R58" i="1" a="1"/>
  <c r="R58" i="1" s="1"/>
  <c r="L58" i="1" a="1"/>
  <c r="L58" i="1" s="1"/>
  <c r="M58" i="1" a="1"/>
  <c r="M58" i="1" s="1"/>
  <c r="V58" i="1" a="1"/>
  <c r="V58" i="1" s="1"/>
  <c r="W58" i="1" a="1"/>
  <c r="W58" i="1" s="1"/>
  <c r="U58" i="1" a="1"/>
  <c r="U58" i="1" s="1"/>
  <c r="O58" i="1" a="1"/>
  <c r="O58" i="1" s="1"/>
  <c r="T58" i="1" a="1"/>
  <c r="T58" i="1" s="1"/>
  <c r="AO57" i="1"/>
  <c r="AW61" i="1"/>
  <c r="BB61" i="1" s="1" a="1"/>
  <c r="BB61" i="1" s="1"/>
  <c r="Y58" i="1" l="1"/>
  <c r="AK58" i="1" l="1"/>
  <c r="I58" i="1" l="1"/>
  <c r="BF58" i="1" s="1" a="1"/>
  <c r="BF58" i="1" s="1"/>
  <c r="AH58" i="1"/>
  <c r="Z58" i="1"/>
  <c r="BG58" i="1" l="1"/>
  <c r="C58" i="9" s="1" a="1"/>
  <c r="C58" i="9" s="1"/>
  <c r="BJ58" i="1" l="1" a="1"/>
  <c r="BJ58" i="1" s="1"/>
  <c r="BK58" i="1" l="1" a="1"/>
  <c r="BK58" i="1" s="1"/>
  <c r="BL58" i="1" s="1"/>
  <c r="BM58" i="1" s="1"/>
  <c r="C58" i="5" a="1"/>
  <c r="C58" i="5" s="1"/>
  <c r="D58" i="5" s="1"/>
  <c r="E58" i="5" s="1" a="1"/>
  <c r="E58" i="5" s="1"/>
  <c r="D58" i="9"/>
  <c r="E58" i="9" s="1"/>
  <c r="F58" i="9" s="1"/>
  <c r="A58" i="9" s="1"/>
  <c r="F58" i="5" l="1"/>
  <c r="C158" i="5"/>
  <c r="G58" i="5" l="1"/>
  <c r="A58" i="5" s="1"/>
  <c r="BN58" i="1" a="1"/>
  <c r="BN58" i="1" l="1"/>
  <c r="BP58" i="1" s="1"/>
  <c r="BH58" i="1" l="1" a="1"/>
  <c r="BH58" i="1" s="1"/>
  <c r="D59" i="1" s="1" a="1"/>
  <c r="D59" i="1" s="1"/>
  <c r="BI58" i="1" a="1"/>
  <c r="BI58" i="1" s="1"/>
  <c r="F59" i="1" s="1" a="1"/>
  <c r="F59" i="1" s="1"/>
  <c r="BQ58" i="1" l="1"/>
  <c r="BO58" i="1"/>
  <c r="BE59" i="1" a="1"/>
  <c r="BE59" i="1" s="1"/>
  <c r="BD59" i="1" l="1" a="1"/>
  <c r="BD59" i="1" s="1"/>
  <c r="H59" i="1"/>
  <c r="CA58" i="1"/>
  <c r="BS58" i="1"/>
  <c r="AE59" i="1" l="1" a="1"/>
  <c r="AE59" i="1" s="1"/>
  <c r="AC59" i="1" a="1"/>
  <c r="AC59" i="1" s="1"/>
  <c r="C158" i="9"/>
  <c r="BT58" i="1" a="1"/>
  <c r="BT58" i="1" s="1"/>
  <c r="BU58" i="1" s="1"/>
  <c r="D158" i="5"/>
  <c r="CC58" i="1" a="1"/>
  <c r="CC58" i="1" s="1"/>
  <c r="CD58" i="1" s="1"/>
  <c r="AG59" i="1" l="1"/>
  <c r="E158" i="5" a="1"/>
  <c r="E158" i="5" s="1"/>
  <c r="BV58" i="1"/>
  <c r="D158" i="9"/>
  <c r="E158" i="9" s="1"/>
  <c r="F158" i="9" s="1"/>
  <c r="A158" i="9" l="1"/>
  <c r="F158" i="5"/>
  <c r="G158" i="5" s="1"/>
  <c r="A158" i="5" s="1"/>
  <c r="AW62" i="1"/>
  <c r="BB62" i="1" s="1" a="1"/>
  <c r="BB62" i="1" s="1"/>
  <c r="BW58" i="1" a="1"/>
  <c r="BW58" i="1" l="1"/>
  <c r="BX58" i="1" s="1"/>
  <c r="BY58" i="1" s="1"/>
  <c r="M59" i="1" l="1" a="1"/>
  <c r="M59" i="1" s="1"/>
  <c r="Q59" i="1" a="1"/>
  <c r="Q59" i="1" s="1"/>
  <c r="R59" i="1" a="1"/>
  <c r="R59" i="1" s="1"/>
  <c r="L59" i="1" a="1"/>
  <c r="L59" i="1" s="1"/>
  <c r="P59" i="1" a="1"/>
  <c r="P59" i="1" s="1"/>
  <c r="O59" i="1" a="1"/>
  <c r="O59" i="1" s="1"/>
  <c r="W59" i="1" a="1"/>
  <c r="W59" i="1" s="1"/>
  <c r="V59" i="1" a="1"/>
  <c r="V59" i="1" s="1"/>
  <c r="U59" i="1" a="1"/>
  <c r="U59" i="1" s="1"/>
  <c r="T59" i="1" a="1"/>
  <c r="T59" i="1" s="1"/>
  <c r="AO58" i="1"/>
  <c r="Y59" i="1" l="1"/>
  <c r="AK59" i="1" l="1"/>
  <c r="AH59" i="1" l="1"/>
  <c r="Z59" i="1"/>
  <c r="I59" i="1"/>
  <c r="BF59" i="1" s="1" a="1"/>
  <c r="BF59" i="1" s="1"/>
  <c r="BG59" i="1" l="1"/>
  <c r="C59" i="9" s="1" a="1"/>
  <c r="C59" i="9" s="1"/>
  <c r="D59" i="9" l="1"/>
  <c r="E59" i="9" s="1"/>
  <c r="F59" i="9" s="1"/>
  <c r="A59" i="9" s="1"/>
  <c r="BJ59" i="1" a="1"/>
  <c r="BJ59" i="1" s="1"/>
  <c r="BK59" i="1" l="1" a="1"/>
  <c r="BK59" i="1" s="1"/>
  <c r="BL59" i="1" s="1"/>
  <c r="BM59" i="1" s="1"/>
  <c r="C59" i="5" a="1"/>
  <c r="C59" i="5" s="1"/>
  <c r="D59" i="5" s="1"/>
  <c r="E59" i="5" s="1" a="1"/>
  <c r="E59" i="5" s="1"/>
  <c r="AW63" i="1"/>
  <c r="BB63" i="1" s="1" a="1"/>
  <c r="BB63" i="1" s="1"/>
  <c r="C159" i="5" l="1"/>
  <c r="F59" i="5"/>
  <c r="G59" i="5" s="1"/>
  <c r="A59" i="5" s="1"/>
  <c r="BN59" i="1" a="1"/>
  <c r="BN59" i="1" l="1"/>
  <c r="BP59" i="1" s="1"/>
  <c r="BH59" i="1" l="1" a="1"/>
  <c r="BH59" i="1" s="1"/>
  <c r="D60" i="1" s="1" a="1"/>
  <c r="D60" i="1" s="1"/>
  <c r="BI59" i="1" a="1"/>
  <c r="BI59" i="1" s="1"/>
  <c r="F60" i="1" s="1" a="1"/>
  <c r="F60" i="1" s="1"/>
  <c r="BO59" i="1" l="1"/>
  <c r="BQ59" i="1"/>
  <c r="BE60" i="1" a="1"/>
  <c r="BE60" i="1" s="1"/>
  <c r="BD60" i="1" l="1" a="1"/>
  <c r="BD60" i="1" s="1"/>
  <c r="H60" i="1"/>
  <c r="CA59" i="1"/>
  <c r="BS59" i="1"/>
  <c r="C159" i="9" l="1"/>
  <c r="D159" i="5"/>
  <c r="BT59" i="1" a="1"/>
  <c r="BT59" i="1" s="1"/>
  <c r="BU59" i="1" s="1"/>
  <c r="CC59" i="1" a="1"/>
  <c r="CC59" i="1" s="1"/>
  <c r="CD59" i="1" s="1"/>
  <c r="AE60" i="1" a="1"/>
  <c r="AE60" i="1" s="1"/>
  <c r="AC60" i="1" a="1"/>
  <c r="AC60" i="1" s="1"/>
  <c r="AG60" i="1" l="1"/>
  <c r="BV59" i="1"/>
  <c r="E159" i="5" a="1"/>
  <c r="E159" i="5" s="1"/>
  <c r="D159" i="9"/>
  <c r="E159" i="9" s="1"/>
  <c r="F159" i="9" s="1"/>
  <c r="A159" i="9" s="1"/>
  <c r="F159" i="5" l="1"/>
  <c r="G159" i="5" s="1"/>
  <c r="A159" i="5" s="1"/>
  <c r="BW59" i="1" a="1"/>
  <c r="BW59" i="1" l="1"/>
  <c r="BX59" i="1" s="1"/>
  <c r="BY59" i="1" s="1"/>
  <c r="P60" i="1" l="1" a="1"/>
  <c r="P60" i="1" s="1"/>
  <c r="L60" i="1" a="1"/>
  <c r="L60" i="1" s="1"/>
  <c r="R60" i="1" a="1"/>
  <c r="R60" i="1" s="1"/>
  <c r="Q60" i="1" a="1"/>
  <c r="Q60" i="1" s="1"/>
  <c r="M60" i="1" a="1"/>
  <c r="M60" i="1" s="1"/>
  <c r="U60" i="1" a="1"/>
  <c r="U60" i="1" s="1"/>
  <c r="T60" i="1" a="1"/>
  <c r="T60" i="1" s="1"/>
  <c r="O60" i="1" a="1"/>
  <c r="O60" i="1" s="1"/>
  <c r="V60" i="1" a="1"/>
  <c r="V60" i="1" s="1"/>
  <c r="W60" i="1" a="1"/>
  <c r="W60" i="1" s="1"/>
  <c r="AO59" i="1"/>
  <c r="AW64" i="1"/>
  <c r="BB64" i="1" s="1" a="1"/>
  <c r="BB64" i="1" s="1"/>
  <c r="Y60" i="1" l="1"/>
  <c r="AK60" i="1" l="1"/>
  <c r="I60" i="1" l="1"/>
  <c r="BF60" i="1" s="1" a="1"/>
  <c r="BF60" i="1" s="1"/>
  <c r="Z60" i="1"/>
  <c r="AH60" i="1"/>
  <c r="BG60" i="1" l="1"/>
  <c r="C60" i="9" s="1" a="1"/>
  <c r="C60" i="9" s="1"/>
  <c r="BJ60" i="1" l="1" a="1"/>
  <c r="BJ60" i="1" s="1"/>
  <c r="E60" i="9" l="1"/>
  <c r="F60" i="9" s="1"/>
  <c r="D60" i="9"/>
  <c r="C60" i="5" a="1"/>
  <c r="C60" i="5" s="1"/>
  <c r="D60" i="5" s="1"/>
  <c r="E60" i="5" s="1" a="1"/>
  <c r="E60" i="5" s="1"/>
  <c r="BK60" i="1" a="1"/>
  <c r="BK60" i="1" s="1"/>
  <c r="BM60" i="1" s="1"/>
  <c r="BL60" i="1"/>
  <c r="A60" i="9" l="1"/>
  <c r="C160" i="5"/>
  <c r="F60" i="5"/>
  <c r="G60" i="5" s="1"/>
  <c r="A60" i="5" l="1"/>
  <c r="BN60" i="1" a="1"/>
  <c r="BN60" i="1" l="1"/>
  <c r="BP60" i="1" s="1"/>
  <c r="BH60" i="1" l="1" a="1"/>
  <c r="BH60" i="1" s="1"/>
  <c r="D61" i="1" s="1" a="1"/>
  <c r="D61" i="1" s="1"/>
  <c r="BI60" i="1" a="1"/>
  <c r="BI60" i="1" s="1"/>
  <c r="F61" i="1" s="1" a="1"/>
  <c r="F61" i="1" s="1"/>
  <c r="AW65" i="1"/>
  <c r="BB65" i="1" s="1" a="1"/>
  <c r="BB65" i="1" s="1"/>
  <c r="BQ60" i="1" l="1"/>
  <c r="BO60" i="1"/>
  <c r="BE61" i="1" a="1"/>
  <c r="BE61" i="1" s="1"/>
  <c r="BD61" i="1" l="1" a="1"/>
  <c r="BD61" i="1" s="1"/>
  <c r="H61" i="1"/>
  <c r="CA60" i="1"/>
  <c r="BS60" i="1"/>
  <c r="BU60" i="1" l="1"/>
  <c r="C160" i="9"/>
  <c r="D160" i="5"/>
  <c r="BT60" i="1" a="1"/>
  <c r="BT60" i="1" s="1"/>
  <c r="BV60" i="1" s="1"/>
  <c r="CC60" i="1" a="1"/>
  <c r="CC60" i="1" s="1"/>
  <c r="CD60" i="1" s="1"/>
  <c r="AC61" i="1" a="1"/>
  <c r="AC61" i="1" s="1"/>
  <c r="AE61" i="1" a="1"/>
  <c r="AE61" i="1" s="1"/>
  <c r="AG61" i="1" l="1"/>
  <c r="G160" i="5"/>
  <c r="F160" i="5"/>
  <c r="E160" i="5" a="1"/>
  <c r="E160" i="5" s="1"/>
  <c r="E160" i="9"/>
  <c r="F160" i="9"/>
  <c r="D160" i="9"/>
  <c r="A160" i="5" l="1"/>
  <c r="A160" i="9"/>
  <c r="BW60" i="1" a="1"/>
  <c r="BW60" i="1" l="1"/>
  <c r="BX60" i="1" s="1"/>
  <c r="BY60" i="1" s="1"/>
  <c r="Q61" i="1" a="1"/>
  <c r="Q61" i="1" s="1"/>
  <c r="R61" i="1" a="1"/>
  <c r="R61" i="1" s="1"/>
  <c r="L61" i="1" a="1"/>
  <c r="L61" i="1" s="1"/>
  <c r="P61" i="1" a="1"/>
  <c r="P61" i="1" s="1"/>
  <c r="T61" i="1" a="1"/>
  <c r="T61" i="1" s="1"/>
  <c r="M61" i="1" a="1"/>
  <c r="M61" i="1" s="1"/>
  <c r="O61" i="1" a="1"/>
  <c r="O61" i="1" s="1"/>
  <c r="U61" i="1" a="1"/>
  <c r="U61" i="1" s="1"/>
  <c r="W61" i="1" a="1"/>
  <c r="W61" i="1" s="1"/>
  <c r="V61" i="1" a="1"/>
  <c r="V61" i="1" s="1"/>
  <c r="AO60" i="1"/>
  <c r="Y61" i="1" l="1"/>
  <c r="P62" i="1" s="1" a="1"/>
  <c r="P62" i="1" s="1"/>
  <c r="R62" i="1" a="1"/>
  <c r="R62" i="1" s="1"/>
  <c r="Q62" i="1" a="1"/>
  <c r="Q62" i="1" s="1"/>
  <c r="L62" i="1" l="1" a="1"/>
  <c r="L62" i="1" s="1"/>
  <c r="W62" i="1" a="1"/>
  <c r="W62" i="1" s="1"/>
  <c r="O62" i="1" a="1"/>
  <c r="O62" i="1" s="1"/>
  <c r="V62" i="1" a="1"/>
  <c r="V62" i="1" s="1"/>
  <c r="T62" i="1" a="1"/>
  <c r="T62" i="1" s="1"/>
  <c r="BS61" i="1"/>
  <c r="U62" i="1" a="1"/>
  <c r="U62" i="1" s="1"/>
  <c r="AK61" i="1"/>
  <c r="M62" i="1" a="1"/>
  <c r="M62" i="1" s="1"/>
  <c r="AW66" i="1"/>
  <c r="BB66" i="1" s="1" a="1"/>
  <c r="BB66" i="1" s="1"/>
  <c r="Z61" i="1" l="1"/>
  <c r="I61" i="1"/>
  <c r="BF61" i="1" s="1" a="1"/>
  <c r="BF61" i="1" s="1"/>
  <c r="AH61" i="1"/>
  <c r="AO61" i="1"/>
  <c r="D161" i="5"/>
  <c r="BT61" i="1" a="1"/>
  <c r="BT61" i="1" s="1"/>
  <c r="BV61" i="1" s="1"/>
  <c r="BU61" i="1"/>
  <c r="C161" i="9"/>
  <c r="Y62" i="1"/>
  <c r="M63" i="1" s="1" a="1"/>
  <c r="M63" i="1" s="1"/>
  <c r="BG61" i="1" l="1"/>
  <c r="C61" i="9" s="1" a="1"/>
  <c r="C61" i="9" s="1"/>
  <c r="G161" i="5"/>
  <c r="F161" i="5"/>
  <c r="V63" i="1" a="1"/>
  <c r="V63" i="1" s="1"/>
  <c r="U63" i="1" a="1"/>
  <c r="U63" i="1" s="1"/>
  <c r="O63" i="1" a="1"/>
  <c r="O63" i="1" s="1"/>
  <c r="W63" i="1" a="1"/>
  <c r="W63" i="1" s="1"/>
  <c r="T63" i="1" a="1"/>
  <c r="T63" i="1" s="1"/>
  <c r="BS62" i="1"/>
  <c r="R63" i="1" a="1"/>
  <c r="R63" i="1" s="1"/>
  <c r="L63" i="1" a="1"/>
  <c r="L63" i="1" s="1"/>
  <c r="P63" i="1" a="1"/>
  <c r="P63" i="1" s="1"/>
  <c r="Q63" i="1" a="1"/>
  <c r="Q63" i="1" s="1"/>
  <c r="F161" i="9"/>
  <c r="E161" i="9"/>
  <c r="D161" i="9"/>
  <c r="Y63" i="1" l="1"/>
  <c r="Q64" i="1" s="1" a="1"/>
  <c r="Q64" i="1" s="1"/>
  <c r="BU62" i="1"/>
  <c r="D162" i="5"/>
  <c r="C162" i="9"/>
  <c r="BT62" i="1" a="1"/>
  <c r="BT62" i="1" s="1"/>
  <c r="BV62" i="1" s="1"/>
  <c r="BJ61" i="1" a="1"/>
  <c r="BJ61" i="1" s="1"/>
  <c r="A161" i="9"/>
  <c r="R64" i="1" l="1" a="1"/>
  <c r="R64" i="1" s="1"/>
  <c r="L64" i="1" a="1"/>
  <c r="L64" i="1" s="1"/>
  <c r="P64" i="1" a="1"/>
  <c r="P64" i="1" s="1"/>
  <c r="D162" i="9"/>
  <c r="E162" i="9"/>
  <c r="F162" i="9"/>
  <c r="G162" i="5"/>
  <c r="F162" i="5"/>
  <c r="D61" i="9"/>
  <c r="E61" i="9"/>
  <c r="F61" i="9" s="1"/>
  <c r="BK61" i="1" a="1"/>
  <c r="BK61" i="1" s="1"/>
  <c r="BM61" i="1" s="1"/>
  <c r="C61" i="5" a="1"/>
  <c r="C61" i="5" s="1"/>
  <c r="D61" i="5" s="1"/>
  <c r="E61" i="5" s="1" a="1"/>
  <c r="E61" i="5" s="1"/>
  <c r="BL61" i="1"/>
  <c r="M64" i="1" a="1"/>
  <c r="M64" i="1" s="1"/>
  <c r="U64" i="1" a="1"/>
  <c r="U64" i="1" s="1"/>
  <c r="O64" i="1" a="1"/>
  <c r="O64" i="1" s="1"/>
  <c r="BS63" i="1"/>
  <c r="V64" i="1" a="1"/>
  <c r="V64" i="1" s="1"/>
  <c r="T64" i="1" a="1"/>
  <c r="T64" i="1" s="1"/>
  <c r="W64" i="1" a="1"/>
  <c r="W64" i="1" s="1"/>
  <c r="A162" i="9" l="1"/>
  <c r="A61" i="9"/>
  <c r="BT63" i="1" a="1"/>
  <c r="BT63" i="1" s="1"/>
  <c r="BV63" i="1" s="1"/>
  <c r="D163" i="5"/>
  <c r="C163" i="9"/>
  <c r="BU63" i="1"/>
  <c r="Y64" i="1"/>
  <c r="C161" i="5"/>
  <c r="E161" i="5" s="1" a="1"/>
  <c r="E161" i="5" s="1"/>
  <c r="A161" i="5" s="1"/>
  <c r="F61" i="5"/>
  <c r="G61" i="5" s="1"/>
  <c r="BW61" i="1" a="1"/>
  <c r="BW61" i="1" l="1"/>
  <c r="A61" i="5"/>
  <c r="F163" i="9"/>
  <c r="D163" i="9"/>
  <c r="E163" i="9"/>
  <c r="G163" i="5"/>
  <c r="F163" i="5"/>
  <c r="BS64" i="1"/>
  <c r="T65" i="1" a="1"/>
  <c r="T65" i="1" s="1"/>
  <c r="O65" i="1" a="1"/>
  <c r="O65" i="1" s="1"/>
  <c r="U65" i="1" a="1"/>
  <c r="U65" i="1" s="1"/>
  <c r="W65" i="1" a="1"/>
  <c r="W65" i="1" s="1"/>
  <c r="V65" i="1" a="1"/>
  <c r="V65" i="1" s="1"/>
  <c r="Q65" i="1" a="1"/>
  <c r="Q65" i="1" s="1"/>
  <c r="P65" i="1" a="1"/>
  <c r="P65" i="1" s="1"/>
  <c r="L65" i="1" a="1"/>
  <c r="L65" i="1" s="1"/>
  <c r="R65" i="1" a="1"/>
  <c r="R65" i="1" s="1"/>
  <c r="M65" i="1" a="1"/>
  <c r="M65" i="1" s="1"/>
  <c r="BN61" i="1" a="1"/>
  <c r="A163" i="9" l="1"/>
  <c r="BN61" i="1"/>
  <c r="BP61" i="1" s="1"/>
  <c r="Y65" i="1"/>
  <c r="L66" i="1" s="1" a="1"/>
  <c r="L66" i="1" s="1"/>
  <c r="BU64" i="1"/>
  <c r="D164" i="5"/>
  <c r="BT64" i="1" a="1"/>
  <c r="BT64" i="1" s="1"/>
  <c r="BV64" i="1" s="1"/>
  <c r="C164" i="9"/>
  <c r="BH61" i="1" l="1" a="1"/>
  <c r="BH61" i="1" s="1"/>
  <c r="D62" i="1" s="1" a="1"/>
  <c r="D62" i="1" s="1"/>
  <c r="BI61" i="1" a="1"/>
  <c r="BI61" i="1" s="1"/>
  <c r="F62" i="1" s="1" a="1"/>
  <c r="F62" i="1" s="1"/>
  <c r="P66" i="1" a="1"/>
  <c r="P66" i="1" s="1"/>
  <c r="R66" i="1" a="1"/>
  <c r="R66" i="1" s="1"/>
  <c r="Q66" i="1" a="1"/>
  <c r="Q66" i="1" s="1"/>
  <c r="M66" i="1" a="1"/>
  <c r="M66" i="1" s="1"/>
  <c r="F164" i="5"/>
  <c r="G164" i="5"/>
  <c r="D164" i="9"/>
  <c r="E164" i="9"/>
  <c r="F164" i="9"/>
  <c r="BS65" i="1"/>
  <c r="O66" i="1" a="1"/>
  <c r="O66" i="1" s="1"/>
  <c r="U66" i="1" a="1"/>
  <c r="U66" i="1" s="1"/>
  <c r="W66" i="1" a="1"/>
  <c r="W66" i="1" s="1"/>
  <c r="T66" i="1" a="1"/>
  <c r="T66" i="1" s="1"/>
  <c r="V66" i="1" a="1"/>
  <c r="V66" i="1" s="1"/>
  <c r="A164" i="9" l="1"/>
  <c r="Y66" i="1"/>
  <c r="O67" i="1" s="1" a="1"/>
  <c r="O67" i="1" s="1"/>
  <c r="BO61" i="1"/>
  <c r="BX61" i="1" s="1"/>
  <c r="BY61" i="1" s="1"/>
  <c r="BQ61" i="1"/>
  <c r="CA61" i="1" s="1"/>
  <c r="CC61" i="1" s="1" a="1"/>
  <c r="CC61" i="1" s="1"/>
  <c r="CD61" i="1" s="1"/>
  <c r="C165" i="9"/>
  <c r="BT65" i="1" a="1"/>
  <c r="BT65" i="1" s="1"/>
  <c r="BV65" i="1" s="1"/>
  <c r="BU65" i="1"/>
  <c r="D165" i="5"/>
  <c r="BE62" i="1" a="1"/>
  <c r="BE62" i="1" s="1"/>
  <c r="AE62" i="1" l="1" a="1"/>
  <c r="AE62" i="1" s="1"/>
  <c r="AC62" i="1" a="1"/>
  <c r="AC62" i="1" s="1"/>
  <c r="R67" i="1" a="1"/>
  <c r="R67" i="1" s="1"/>
  <c r="U67" i="1" a="1"/>
  <c r="U67" i="1" s="1"/>
  <c r="V67" i="1" a="1"/>
  <c r="V67" i="1" s="1"/>
  <c r="P67" i="1" a="1"/>
  <c r="P67" i="1" s="1"/>
  <c r="Q67" i="1" a="1"/>
  <c r="Q67" i="1" s="1"/>
  <c r="M67" i="1" a="1"/>
  <c r="M67" i="1" s="1"/>
  <c r="L67" i="1" a="1"/>
  <c r="L67" i="1" s="1"/>
  <c r="T67" i="1" a="1"/>
  <c r="T67" i="1" s="1"/>
  <c r="BS66" i="1"/>
  <c r="BT66" i="1" s="1" a="1"/>
  <c r="BT66" i="1" s="1"/>
  <c r="BV66" i="1" s="1"/>
  <c r="W67" i="1" a="1"/>
  <c r="W67" i="1" s="1"/>
  <c r="D165" i="9"/>
  <c r="F165" i="9"/>
  <c r="E165" i="9"/>
  <c r="H62" i="1"/>
  <c r="BD62" i="1" a="1"/>
  <c r="BD62" i="1" s="1"/>
  <c r="G165" i="5"/>
  <c r="F165" i="5"/>
  <c r="AW67" i="1"/>
  <c r="BB67" i="1" s="1" a="1"/>
  <c r="BB67" i="1" s="1"/>
  <c r="AG62" i="1" l="1"/>
  <c r="AK62" i="1" s="1"/>
  <c r="C166" i="9"/>
  <c r="E166" i="9" s="1"/>
  <c r="BU66" i="1"/>
  <c r="D166" i="5"/>
  <c r="G166" i="5" s="1"/>
  <c r="Y67" i="1"/>
  <c r="U68" i="1" s="1" a="1"/>
  <c r="U68" i="1" s="1"/>
  <c r="Q68" i="1" a="1"/>
  <c r="Q68" i="1" s="1"/>
  <c r="A165" i="9"/>
  <c r="AO62" i="1" l="1"/>
  <c r="I62" i="1"/>
  <c r="BF62" i="1" s="1" a="1"/>
  <c r="BF62" i="1" s="1"/>
  <c r="BG62" i="1" s="1"/>
  <c r="C62" i="9" s="1" a="1"/>
  <c r="C62" i="9" s="1"/>
  <c r="AH62" i="1"/>
  <c r="Z62" i="1"/>
  <c r="F166" i="9"/>
  <c r="D166" i="9"/>
  <c r="V68" i="1" a="1"/>
  <c r="V68" i="1" s="1"/>
  <c r="T68" i="1" a="1"/>
  <c r="T68" i="1" s="1"/>
  <c r="L68" i="1" a="1"/>
  <c r="L68" i="1" s="1"/>
  <c r="R68" i="1" a="1"/>
  <c r="R68" i="1" s="1"/>
  <c r="F166" i="5"/>
  <c r="M68" i="1" a="1"/>
  <c r="M68" i="1" s="1"/>
  <c r="P68" i="1" a="1"/>
  <c r="P68" i="1" s="1"/>
  <c r="W68" i="1" a="1"/>
  <c r="W68" i="1" s="1"/>
  <c r="BS67" i="1"/>
  <c r="D167" i="5" s="1"/>
  <c r="O68" i="1" a="1"/>
  <c r="O68" i="1" s="1"/>
  <c r="A166" i="9" l="1"/>
  <c r="Y68" i="1"/>
  <c r="L69" i="1" s="1" a="1"/>
  <c r="L69" i="1" s="1"/>
  <c r="BT67" i="1" a="1"/>
  <c r="BT67" i="1" s="1"/>
  <c r="BV67" i="1" s="1"/>
  <c r="C167" i="9"/>
  <c r="E167" i="9" s="1"/>
  <c r="BU67" i="1"/>
  <c r="G167" i="5"/>
  <c r="F167" i="5"/>
  <c r="BJ62" i="1" a="1"/>
  <c r="BJ62" i="1" s="1"/>
  <c r="P69" i="1" a="1"/>
  <c r="P69" i="1" s="1"/>
  <c r="W69" i="1" a="1"/>
  <c r="W69" i="1" s="1"/>
  <c r="V69" i="1" a="1"/>
  <c r="V69" i="1" s="1"/>
  <c r="BS68" i="1"/>
  <c r="O69" i="1" a="1"/>
  <c r="O69" i="1" s="1"/>
  <c r="T69" i="1" a="1"/>
  <c r="T69" i="1" s="1"/>
  <c r="Q69" i="1" a="1"/>
  <c r="Q69" i="1" s="1"/>
  <c r="M69" i="1" a="1"/>
  <c r="M69" i="1" s="1"/>
  <c r="R69" i="1" a="1"/>
  <c r="R69" i="1" s="1"/>
  <c r="U69" i="1" l="1" a="1"/>
  <c r="U69" i="1" s="1"/>
  <c r="Y69" i="1" s="1"/>
  <c r="D167" i="9"/>
  <c r="F167" i="9"/>
  <c r="BK62" i="1" a="1"/>
  <c r="BK62" i="1" s="1"/>
  <c r="BM62" i="1" s="1"/>
  <c r="C62" i="5" a="1"/>
  <c r="C62" i="5" s="1"/>
  <c r="D62" i="5" s="1"/>
  <c r="E62" i="5" s="1" a="1"/>
  <c r="E62" i="5" s="1"/>
  <c r="BL62" i="1"/>
  <c r="BT68" i="1" a="1"/>
  <c r="BT68" i="1" s="1"/>
  <c r="BV68" i="1" s="1"/>
  <c r="C168" i="9"/>
  <c r="D168" i="5"/>
  <c r="BU68" i="1"/>
  <c r="D62" i="9"/>
  <c r="E62" i="9"/>
  <c r="F62" i="9" s="1"/>
  <c r="W70" i="1" l="1" a="1"/>
  <c r="W70" i="1" s="1"/>
  <c r="R70" i="1" a="1"/>
  <c r="R70" i="1" s="1"/>
  <c r="M70" i="1" a="1"/>
  <c r="M70" i="1" s="1"/>
  <c r="P70" i="1" a="1"/>
  <c r="P70" i="1" s="1"/>
  <c r="Q70" i="1" a="1"/>
  <c r="Q70" i="1" s="1"/>
  <c r="A167" i="9"/>
  <c r="V70" i="1" a="1"/>
  <c r="V70" i="1" s="1"/>
  <c r="U70" i="1" a="1"/>
  <c r="U70" i="1" s="1"/>
  <c r="T70" i="1" a="1"/>
  <c r="T70" i="1" s="1"/>
  <c r="O70" i="1" a="1"/>
  <c r="O70" i="1" s="1"/>
  <c r="BS69" i="1"/>
  <c r="BT69" i="1" s="1" a="1"/>
  <c r="BT69" i="1" s="1"/>
  <c r="BV69" i="1" s="1"/>
  <c r="L70" i="1" a="1"/>
  <c r="L70" i="1" s="1"/>
  <c r="A62" i="9"/>
  <c r="G168" i="5"/>
  <c r="F168" i="5"/>
  <c r="E168" i="9"/>
  <c r="D168" i="9"/>
  <c r="F168" i="9"/>
  <c r="C162" i="5"/>
  <c r="E162" i="5" s="1" a="1"/>
  <c r="E162" i="5" s="1"/>
  <c r="A162" i="5" s="1"/>
  <c r="F62" i="5"/>
  <c r="G62" i="5"/>
  <c r="BW62" i="1" a="1"/>
  <c r="C169" i="9" l="1"/>
  <c r="E169" i="9" s="1"/>
  <c r="BU69" i="1"/>
  <c r="D169" i="5"/>
  <c r="F169" i="5" s="1"/>
  <c r="Y70" i="1"/>
  <c r="R71" i="1" s="1" a="1"/>
  <c r="R71" i="1" s="1"/>
  <c r="A168" i="9"/>
  <c r="BW62" i="1"/>
  <c r="A62" i="5"/>
  <c r="F169" i="9"/>
  <c r="BN62" i="1" a="1"/>
  <c r="D169" i="9" l="1"/>
  <c r="U71" i="1" a="1"/>
  <c r="U71" i="1" s="1"/>
  <c r="T71" i="1" a="1"/>
  <c r="T71" i="1" s="1"/>
  <c r="G169" i="5"/>
  <c r="V71" i="1" a="1"/>
  <c r="V71" i="1" s="1"/>
  <c r="M71" i="1" a="1"/>
  <c r="M71" i="1" s="1"/>
  <c r="L71" i="1" a="1"/>
  <c r="L71" i="1" s="1"/>
  <c r="O71" i="1" a="1"/>
  <c r="O71" i="1" s="1"/>
  <c r="P71" i="1" a="1"/>
  <c r="P71" i="1" s="1"/>
  <c r="Q71" i="1" a="1"/>
  <c r="Q71" i="1" s="1"/>
  <c r="W71" i="1" a="1"/>
  <c r="W71" i="1" s="1"/>
  <c r="BS70" i="1"/>
  <c r="BT70" i="1" s="1" a="1"/>
  <c r="BT70" i="1" s="1"/>
  <c r="BV70" i="1" s="1"/>
  <c r="A169" i="9"/>
  <c r="BN62" i="1"/>
  <c r="BP62" i="1" s="1"/>
  <c r="BH62" i="1" l="1" a="1"/>
  <c r="BH62" i="1" s="1"/>
  <c r="D63" i="1" s="1" a="1"/>
  <c r="D63" i="1" s="1"/>
  <c r="BI62" i="1" a="1"/>
  <c r="BI62" i="1" s="1"/>
  <c r="F63" i="1" s="1" a="1"/>
  <c r="F63" i="1" s="1"/>
  <c r="D170" i="5"/>
  <c r="G170" i="5" s="1"/>
  <c r="Y71" i="1"/>
  <c r="V72" i="1" s="1" a="1"/>
  <c r="V72" i="1" s="1"/>
  <c r="BU70" i="1"/>
  <c r="C170" i="9"/>
  <c r="D170" i="9" s="1"/>
  <c r="R72" i="1" l="1" a="1"/>
  <c r="R72" i="1" s="1"/>
  <c r="F170" i="5"/>
  <c r="U72" i="1" a="1"/>
  <c r="U72" i="1" s="1"/>
  <c r="F170" i="9"/>
  <c r="A170" i="9" s="1"/>
  <c r="O72" i="1" a="1"/>
  <c r="O72" i="1" s="1"/>
  <c r="M72" i="1" a="1"/>
  <c r="M72" i="1" s="1"/>
  <c r="Q72" i="1" a="1"/>
  <c r="Q72" i="1" s="1"/>
  <c r="P72" i="1" a="1"/>
  <c r="P72" i="1" s="1"/>
  <c r="L72" i="1" a="1"/>
  <c r="L72" i="1" s="1"/>
  <c r="T72" i="1" a="1"/>
  <c r="T72" i="1" s="1"/>
  <c r="E170" i="9"/>
  <c r="BS71" i="1"/>
  <c r="BU71" i="1" s="1"/>
  <c r="W72" i="1" a="1"/>
  <c r="W72" i="1" s="1"/>
  <c r="BO62" i="1"/>
  <c r="BX62" i="1" s="1"/>
  <c r="BY62" i="1" s="1"/>
  <c r="BQ62" i="1"/>
  <c r="CA62" i="1" s="1"/>
  <c r="CC62" i="1" s="1" a="1"/>
  <c r="CC62" i="1" s="1"/>
  <c r="CD62" i="1" s="1"/>
  <c r="BE63" i="1" a="1"/>
  <c r="BE63" i="1" s="1"/>
  <c r="AE63" i="1" l="1" a="1"/>
  <c r="AE63" i="1" s="1"/>
  <c r="AC63" i="1" a="1"/>
  <c r="AC63" i="1" s="1"/>
  <c r="Y72" i="1"/>
  <c r="Q73" i="1" s="1" a="1"/>
  <c r="Q73" i="1" s="1"/>
  <c r="C171" i="9"/>
  <c r="D171" i="9" s="1"/>
  <c r="BT71" i="1" a="1"/>
  <c r="BT71" i="1" s="1"/>
  <c r="BV71" i="1" s="1"/>
  <c r="D171" i="5"/>
  <c r="F171" i="5" s="1"/>
  <c r="R73" i="1" a="1"/>
  <c r="R73" i="1" s="1"/>
  <c r="BD63" i="1" a="1"/>
  <c r="BD63" i="1" s="1"/>
  <c r="H63" i="1"/>
  <c r="AW68" i="1"/>
  <c r="BB68" i="1" s="1" a="1"/>
  <c r="BB68" i="1" s="1"/>
  <c r="AG63" i="1" l="1"/>
  <c r="AK63" i="1" s="1"/>
  <c r="M73" i="1" a="1"/>
  <c r="M73" i="1" s="1"/>
  <c r="V73" i="1" a="1"/>
  <c r="V73" i="1" s="1"/>
  <c r="P73" i="1" a="1"/>
  <c r="P73" i="1" s="1"/>
  <c r="L73" i="1" a="1"/>
  <c r="L73" i="1" s="1"/>
  <c r="T73" i="1" a="1"/>
  <c r="T73" i="1" s="1"/>
  <c r="O73" i="1" a="1"/>
  <c r="O73" i="1" s="1"/>
  <c r="U73" i="1" a="1"/>
  <c r="U73" i="1" s="1"/>
  <c r="BS72" i="1"/>
  <c r="BU72" i="1" s="1"/>
  <c r="W73" i="1" a="1"/>
  <c r="W73" i="1" s="1"/>
  <c r="G171" i="5"/>
  <c r="F171" i="9"/>
  <c r="A171" i="9" s="1"/>
  <c r="E171" i="9"/>
  <c r="I63" i="1" l="1"/>
  <c r="BF63" i="1" s="1" a="1"/>
  <c r="BF63" i="1" s="1"/>
  <c r="BG63" i="1" s="1"/>
  <c r="C63" i="9" s="1" a="1"/>
  <c r="C63" i="9" s="1"/>
  <c r="AO63" i="1"/>
  <c r="AH63" i="1"/>
  <c r="Z63" i="1"/>
  <c r="C172" i="9"/>
  <c r="E172" i="9" s="1"/>
  <c r="BT72" i="1" a="1"/>
  <c r="BT72" i="1" s="1"/>
  <c r="BV72" i="1" s="1"/>
  <c r="D172" i="5"/>
  <c r="G172" i="5" s="1"/>
  <c r="Y73" i="1"/>
  <c r="BS73" i="1" s="1"/>
  <c r="BT73" i="1" s="1" a="1"/>
  <c r="BT73" i="1" s="1"/>
  <c r="BV73" i="1" s="1"/>
  <c r="P74" i="1" a="1"/>
  <c r="P74" i="1" s="1"/>
  <c r="O74" i="1" l="1" a="1"/>
  <c r="O74" i="1" s="1"/>
  <c r="L74" i="1" a="1"/>
  <c r="L74" i="1" s="1"/>
  <c r="F172" i="9"/>
  <c r="D172" i="9"/>
  <c r="A172" i="9" s="1"/>
  <c r="F172" i="5"/>
  <c r="C173" i="9"/>
  <c r="D173" i="9" s="1"/>
  <c r="BU73" i="1"/>
  <c r="T74" i="1" a="1"/>
  <c r="T74" i="1" s="1"/>
  <c r="R74" i="1" a="1"/>
  <c r="R74" i="1" s="1"/>
  <c r="D173" i="5"/>
  <c r="F173" i="5" s="1"/>
  <c r="Q74" i="1" a="1"/>
  <c r="Q74" i="1" s="1"/>
  <c r="M74" i="1" a="1"/>
  <c r="M74" i="1" s="1"/>
  <c r="V74" i="1" a="1"/>
  <c r="V74" i="1" s="1"/>
  <c r="W74" i="1" a="1"/>
  <c r="W74" i="1" s="1"/>
  <c r="BJ63" i="1" a="1"/>
  <c r="BJ63" i="1" s="1"/>
  <c r="BL63" i="1" s="1"/>
  <c r="U74" i="1" a="1"/>
  <c r="U74" i="1" s="1"/>
  <c r="D63" i="9"/>
  <c r="E63" i="9"/>
  <c r="F63" i="9" s="1"/>
  <c r="C63" i="5" l="1" a="1"/>
  <c r="C63" i="5" s="1"/>
  <c r="D63" i="5" s="1"/>
  <c r="E63" i="5" s="1" a="1"/>
  <c r="E63" i="5" s="1"/>
  <c r="BK63" i="1" a="1"/>
  <c r="BK63" i="1" s="1"/>
  <c r="BM63" i="1" s="1"/>
  <c r="F173" i="9"/>
  <c r="A173" i="9" s="1"/>
  <c r="E173" i="9"/>
  <c r="G173" i="5"/>
  <c r="Y74" i="1"/>
  <c r="P75" i="1" s="1" a="1"/>
  <c r="P75" i="1" s="1"/>
  <c r="Q75" i="1" a="1"/>
  <c r="Q75" i="1" s="1"/>
  <c r="W75" i="1" a="1"/>
  <c r="W75" i="1" s="1"/>
  <c r="R75" i="1" a="1"/>
  <c r="R75" i="1" s="1"/>
  <c r="A63" i="9"/>
  <c r="F63" i="5" l="1"/>
  <c r="G63" i="5" s="1"/>
  <c r="C163" i="5"/>
  <c r="E163" i="5" s="1" a="1"/>
  <c r="E163" i="5" s="1"/>
  <c r="A163" i="5" s="1"/>
  <c r="O75" i="1" a="1"/>
  <c r="O75" i="1" s="1"/>
  <c r="M75" i="1" a="1"/>
  <c r="M75" i="1" s="1"/>
  <c r="V75" i="1" a="1"/>
  <c r="V75" i="1" s="1"/>
  <c r="U75" i="1" a="1"/>
  <c r="U75" i="1" s="1"/>
  <c r="BS74" i="1"/>
  <c r="L75" i="1" a="1"/>
  <c r="L75" i="1" s="1"/>
  <c r="T75" i="1" a="1"/>
  <c r="T75" i="1" s="1"/>
  <c r="A63" i="5"/>
  <c r="BN63" i="1" a="1"/>
  <c r="BW63" i="1" a="1"/>
  <c r="BW63" i="1" l="1"/>
  <c r="BT74" i="1" a="1"/>
  <c r="BT74" i="1" s="1"/>
  <c r="BV74" i="1" s="1"/>
  <c r="BU74" i="1"/>
  <c r="C174" i="9"/>
  <c r="D174" i="5"/>
  <c r="Y75" i="1"/>
  <c r="Q76" i="1" s="1" a="1"/>
  <c r="Q76" i="1" s="1"/>
  <c r="BN63" i="1"/>
  <c r="BP63" i="1" s="1"/>
  <c r="P76" i="1" l="1" a="1"/>
  <c r="P76" i="1" s="1"/>
  <c r="O76" i="1" a="1"/>
  <c r="O76" i="1" s="1"/>
  <c r="G174" i="5"/>
  <c r="F174" i="5"/>
  <c r="E174" i="9"/>
  <c r="F174" i="9"/>
  <c r="D174" i="9"/>
  <c r="U76" i="1" a="1"/>
  <c r="U76" i="1" s="1"/>
  <c r="W76" i="1" a="1"/>
  <c r="W76" i="1" s="1"/>
  <c r="L76" i="1" a="1"/>
  <c r="L76" i="1" s="1"/>
  <c r="BS75" i="1"/>
  <c r="C175" i="9" s="1"/>
  <c r="D175" i="9" s="1"/>
  <c r="R76" i="1" a="1"/>
  <c r="R76" i="1" s="1"/>
  <c r="V76" i="1" a="1"/>
  <c r="V76" i="1" s="1"/>
  <c r="M76" i="1" a="1"/>
  <c r="M76" i="1" s="1"/>
  <c r="T76" i="1" a="1"/>
  <c r="T76" i="1" s="1"/>
  <c r="BH63" i="1" a="1"/>
  <c r="BH63" i="1" s="1"/>
  <c r="D64" i="1" s="1" a="1"/>
  <c r="D64" i="1" s="1"/>
  <c r="BI63" i="1" a="1"/>
  <c r="BI63" i="1" s="1"/>
  <c r="F64" i="1" s="1" a="1"/>
  <c r="F64" i="1" s="1"/>
  <c r="A174" i="9" l="1"/>
  <c r="D175" i="5"/>
  <c r="F175" i="5" s="1"/>
  <c r="E175" i="9"/>
  <c r="F175" i="9"/>
  <c r="A175" i="9" s="1"/>
  <c r="BU75" i="1"/>
  <c r="BT75" i="1" a="1"/>
  <c r="BT75" i="1" s="1"/>
  <c r="BV75" i="1" s="1"/>
  <c r="G175" i="5"/>
  <c r="Y76" i="1"/>
  <c r="T77" i="1" s="1" a="1"/>
  <c r="T77" i="1" s="1"/>
  <c r="BE64" i="1" a="1"/>
  <c r="BE64" i="1" s="1"/>
  <c r="BQ63" i="1"/>
  <c r="CA63" i="1" s="1"/>
  <c r="CC63" i="1" s="1" a="1"/>
  <c r="CC63" i="1" s="1"/>
  <c r="CD63" i="1" s="1"/>
  <c r="BO63" i="1"/>
  <c r="BX63" i="1" s="1"/>
  <c r="BY63" i="1" s="1"/>
  <c r="AC64" i="1" l="1" a="1"/>
  <c r="AC64" i="1" s="1"/>
  <c r="AE64" i="1" a="1"/>
  <c r="AE64" i="1" s="1"/>
  <c r="P77" i="1" a="1"/>
  <c r="P77" i="1" s="1"/>
  <c r="R77" i="1" a="1"/>
  <c r="R77" i="1" s="1"/>
  <c r="O77" i="1" a="1"/>
  <c r="O77" i="1" s="1"/>
  <c r="V77" i="1" a="1"/>
  <c r="V77" i="1" s="1"/>
  <c r="Q77" i="1" a="1"/>
  <c r="Q77" i="1" s="1"/>
  <c r="BS76" i="1"/>
  <c r="BU76" i="1" s="1"/>
  <c r="M77" i="1" a="1"/>
  <c r="M77" i="1" s="1"/>
  <c r="W77" i="1" a="1"/>
  <c r="W77" i="1" s="1"/>
  <c r="U77" i="1" a="1"/>
  <c r="U77" i="1" s="1"/>
  <c r="L77" i="1" a="1"/>
  <c r="L77" i="1" s="1"/>
  <c r="BD64" i="1" a="1"/>
  <c r="BD64" i="1" s="1"/>
  <c r="H64" i="1"/>
  <c r="AG64" i="1" l="1"/>
  <c r="AK64" i="1" s="1"/>
  <c r="BT76" i="1" a="1"/>
  <c r="BT76" i="1" s="1"/>
  <c r="BV76" i="1" s="1"/>
  <c r="D176" i="5"/>
  <c r="F176" i="5" s="1"/>
  <c r="C176" i="9"/>
  <c r="F176" i="9" s="1"/>
  <c r="Y77" i="1"/>
  <c r="L78" i="1" s="1" a="1"/>
  <c r="L78" i="1" s="1"/>
  <c r="G176" i="5"/>
  <c r="R78" i="1" a="1"/>
  <c r="R78" i="1" s="1"/>
  <c r="Q78" i="1" a="1"/>
  <c r="Q78" i="1" s="1"/>
  <c r="AW69" i="1"/>
  <c r="BB69" i="1" s="1" a="1"/>
  <c r="BB69" i="1" s="1"/>
  <c r="AH64" i="1" l="1"/>
  <c r="I64" i="1"/>
  <c r="BF64" i="1" s="1" a="1"/>
  <c r="BF64" i="1" s="1"/>
  <c r="BG64" i="1" s="1"/>
  <c r="C64" i="9" s="1" a="1"/>
  <c r="C64" i="9" s="1"/>
  <c r="AO64" i="1"/>
  <c r="Z64" i="1"/>
  <c r="P78" i="1" a="1"/>
  <c r="P78" i="1" s="1"/>
  <c r="M78" i="1" a="1"/>
  <c r="M78" i="1" s="1"/>
  <c r="U78" i="1" a="1"/>
  <c r="U78" i="1" s="1"/>
  <c r="O78" i="1" a="1"/>
  <c r="O78" i="1" s="1"/>
  <c r="W78" i="1" a="1"/>
  <c r="W78" i="1" s="1"/>
  <c r="BS77" i="1"/>
  <c r="D177" i="5" s="1"/>
  <c r="F177" i="5" s="1"/>
  <c r="V78" i="1" a="1"/>
  <c r="V78" i="1" s="1"/>
  <c r="E176" i="9"/>
  <c r="T78" i="1" a="1"/>
  <c r="T78" i="1" s="1"/>
  <c r="D176" i="9"/>
  <c r="A176" i="9" s="1"/>
  <c r="C177" i="9" l="1"/>
  <c r="F177" i="9" s="1"/>
  <c r="G177" i="5"/>
  <c r="BT77" i="1" a="1"/>
  <c r="BT77" i="1" s="1"/>
  <c r="BV77" i="1" s="1"/>
  <c r="BU77" i="1"/>
  <c r="Y78" i="1"/>
  <c r="U79" i="1" s="1" a="1"/>
  <c r="U79" i="1" s="1"/>
  <c r="Q79" i="1" a="1"/>
  <c r="Q79" i="1" s="1"/>
  <c r="V79" i="1" a="1"/>
  <c r="V79" i="1" s="1"/>
  <c r="T79" i="1" a="1"/>
  <c r="T79" i="1" s="1"/>
  <c r="P79" i="1" a="1"/>
  <c r="P79" i="1" s="1"/>
  <c r="R79" i="1" a="1"/>
  <c r="R79" i="1" s="1"/>
  <c r="E177" i="9"/>
  <c r="D177" i="9"/>
  <c r="A177" i="9" s="1"/>
  <c r="BJ64" i="1" a="1"/>
  <c r="BJ64" i="1" s="1"/>
  <c r="M79" i="1" l="1" a="1"/>
  <c r="M79" i="1" s="1"/>
  <c r="O79" i="1" a="1"/>
  <c r="O79" i="1" s="1"/>
  <c r="BS78" i="1"/>
  <c r="C178" i="9" s="1"/>
  <c r="D178" i="9" s="1"/>
  <c r="W79" i="1" a="1"/>
  <c r="W79" i="1" s="1"/>
  <c r="L79" i="1" a="1"/>
  <c r="L79" i="1" s="1"/>
  <c r="D178" i="5"/>
  <c r="G178" i="5" s="1"/>
  <c r="BT78" i="1" a="1"/>
  <c r="BT78" i="1" s="1"/>
  <c r="BV78" i="1" s="1"/>
  <c r="E178" i="9"/>
  <c r="C64" i="5" a="1"/>
  <c r="C64" i="5" s="1"/>
  <c r="D64" i="5" s="1"/>
  <c r="E64" i="5" s="1" a="1"/>
  <c r="E64" i="5" s="1"/>
  <c r="BK64" i="1" a="1"/>
  <c r="BK64" i="1" s="1"/>
  <c r="BM64" i="1" s="1"/>
  <c r="BL64" i="1"/>
  <c r="D64" i="9"/>
  <c r="E64" i="9"/>
  <c r="F64" i="9" s="1"/>
  <c r="BU78" i="1" l="1"/>
  <c r="F178" i="9"/>
  <c r="A178" i="9" s="1"/>
  <c r="F178" i="5"/>
  <c r="Y79" i="1"/>
  <c r="BS79" i="1" s="1"/>
  <c r="Q80" i="1" a="1"/>
  <c r="Q80" i="1" s="1"/>
  <c r="R80" i="1" a="1"/>
  <c r="R80" i="1" s="1"/>
  <c r="T80" i="1" a="1"/>
  <c r="T80" i="1" s="1"/>
  <c r="P80" i="1" a="1"/>
  <c r="P80" i="1" s="1"/>
  <c r="F64" i="5"/>
  <c r="C164" i="5"/>
  <c r="E164" i="5" s="1" a="1"/>
  <c r="E164" i="5" s="1"/>
  <c r="A164" i="5" s="1"/>
  <c r="G64" i="5"/>
  <c r="A64" i="9"/>
  <c r="BW64" i="1" a="1"/>
  <c r="V80" i="1" l="1" a="1"/>
  <c r="V80" i="1" s="1"/>
  <c r="L80" i="1" a="1"/>
  <c r="L80" i="1" s="1"/>
  <c r="O80" i="1" a="1"/>
  <c r="O80" i="1" s="1"/>
  <c r="U80" i="1" a="1"/>
  <c r="U80" i="1" s="1"/>
  <c r="M80" i="1" a="1"/>
  <c r="M80" i="1" s="1"/>
  <c r="W80" i="1" a="1"/>
  <c r="W80" i="1" s="1"/>
  <c r="Y80" i="1" s="1"/>
  <c r="C179" i="9"/>
  <c r="BU79" i="1"/>
  <c r="D179" i="5"/>
  <c r="G179" i="5" s="1"/>
  <c r="BT79" i="1" a="1"/>
  <c r="BT79" i="1" s="1"/>
  <c r="BV79" i="1" s="1"/>
  <c r="BW64" i="1"/>
  <c r="A64" i="5"/>
  <c r="BN64" i="1" a="1"/>
  <c r="F179" i="5" l="1"/>
  <c r="BS80" i="1"/>
  <c r="C180" i="9" s="1"/>
  <c r="D180" i="9" s="1"/>
  <c r="Q81" i="1" a="1"/>
  <c r="Q81" i="1" s="1"/>
  <c r="L81" i="1" a="1"/>
  <c r="L81" i="1" s="1"/>
  <c r="M81" i="1" a="1"/>
  <c r="M81" i="1" s="1"/>
  <c r="W81" i="1" a="1"/>
  <c r="W81" i="1" s="1"/>
  <c r="O81" i="1" a="1"/>
  <c r="O81" i="1" s="1"/>
  <c r="V81" i="1" a="1"/>
  <c r="V81" i="1" s="1"/>
  <c r="T81" i="1" a="1"/>
  <c r="T81" i="1" s="1"/>
  <c r="U81" i="1" a="1"/>
  <c r="U81" i="1" s="1"/>
  <c r="P81" i="1" a="1"/>
  <c r="P81" i="1" s="1"/>
  <c r="R81" i="1" a="1"/>
  <c r="R81" i="1" s="1"/>
  <c r="D179" i="9"/>
  <c r="E179" i="9"/>
  <c r="F179" i="9"/>
  <c r="BT80" i="1" a="1"/>
  <c r="BT80" i="1" s="1"/>
  <c r="BV80" i="1" s="1"/>
  <c r="BN64" i="1"/>
  <c r="BP64" i="1" s="1"/>
  <c r="D180" i="5" l="1"/>
  <c r="F180" i="5" s="1"/>
  <c r="BU80" i="1"/>
  <c r="Y81" i="1"/>
  <c r="W82" i="1" s="1" a="1"/>
  <c r="W82" i="1" s="1"/>
  <c r="V82" i="1" a="1"/>
  <c r="V82" i="1" s="1"/>
  <c r="R82" i="1" a="1"/>
  <c r="R82" i="1" s="1"/>
  <c r="A179" i="9"/>
  <c r="G180" i="5"/>
  <c r="F180" i="9"/>
  <c r="A180" i="9" s="1"/>
  <c r="E180" i="9"/>
  <c r="Q82" i="1" a="1"/>
  <c r="Q82" i="1" s="1"/>
  <c r="BH64" i="1" a="1"/>
  <c r="BH64" i="1" s="1"/>
  <c r="D65" i="1" s="1" a="1"/>
  <c r="D65" i="1" s="1"/>
  <c r="BI64" i="1" a="1"/>
  <c r="BI64" i="1" s="1"/>
  <c r="F65" i="1" s="1" a="1"/>
  <c r="F65" i="1" s="1"/>
  <c r="M82" i="1" a="1"/>
  <c r="M82" i="1" s="1"/>
  <c r="BS81" i="1"/>
  <c r="D181" i="5" s="1"/>
  <c r="G181" i="5" s="1"/>
  <c r="U82" i="1" a="1"/>
  <c r="U82" i="1" s="1"/>
  <c r="O82" i="1" a="1"/>
  <c r="O82" i="1" s="1"/>
  <c r="P82" i="1" a="1"/>
  <c r="P82" i="1" s="1"/>
  <c r="T82" i="1" l="1" a="1"/>
  <c r="T82" i="1" s="1"/>
  <c r="L82" i="1" a="1"/>
  <c r="L82" i="1" s="1"/>
  <c r="BT81" i="1" a="1"/>
  <c r="BT81" i="1" s="1"/>
  <c r="BV81" i="1" s="1"/>
  <c r="BU81" i="1"/>
  <c r="F181" i="5"/>
  <c r="C181" i="9"/>
  <c r="F181" i="9" s="1"/>
  <c r="BE65" i="1" a="1"/>
  <c r="BE65" i="1" s="1"/>
  <c r="BQ64" i="1"/>
  <c r="CA64" i="1" s="1"/>
  <c r="CC64" i="1" s="1" a="1"/>
  <c r="CC64" i="1" s="1"/>
  <c r="CD64" i="1" s="1"/>
  <c r="BO64" i="1"/>
  <c r="BX64" i="1" s="1"/>
  <c r="BY64" i="1" s="1"/>
  <c r="Y82" i="1" l="1"/>
  <c r="U83" i="1" a="1"/>
  <c r="U83" i="1" s="1"/>
  <c r="R83" i="1" a="1"/>
  <c r="R83" i="1" s="1"/>
  <c r="AC65" i="1" a="1"/>
  <c r="AC65" i="1" s="1"/>
  <c r="AE65" i="1" a="1"/>
  <c r="AE65" i="1" s="1"/>
  <c r="E181" i="9"/>
  <c r="D181" i="9"/>
  <c r="A181" i="9" s="1"/>
  <c r="O83" i="1" a="1"/>
  <c r="O83" i="1" s="1"/>
  <c r="W83" i="1" a="1"/>
  <c r="W83" i="1" s="1"/>
  <c r="P83" i="1" a="1"/>
  <c r="P83" i="1" s="1"/>
  <c r="V83" i="1" a="1"/>
  <c r="V83" i="1" s="1"/>
  <c r="T83" i="1" a="1"/>
  <c r="T83" i="1" s="1"/>
  <c r="BS82" i="1"/>
  <c r="BT82" i="1" s="1" a="1"/>
  <c r="BT82" i="1" s="1"/>
  <c r="BV82" i="1" s="1"/>
  <c r="Q83" i="1" a="1"/>
  <c r="Q83" i="1" s="1"/>
  <c r="L83" i="1" a="1"/>
  <c r="L83" i="1" s="1"/>
  <c r="M83" i="1" a="1"/>
  <c r="M83" i="1" s="1"/>
  <c r="BD65" i="1" a="1"/>
  <c r="BD65" i="1" s="1"/>
  <c r="H65" i="1"/>
  <c r="AG65" i="1" l="1"/>
  <c r="AK65" i="1" s="1"/>
  <c r="C182" i="9"/>
  <c r="E182" i="9" s="1"/>
  <c r="BU82" i="1"/>
  <c r="D182" i="5"/>
  <c r="F182" i="5" s="1"/>
  <c r="Y83" i="1"/>
  <c r="W84" i="1" s="1" a="1"/>
  <c r="W84" i="1" s="1"/>
  <c r="P84" i="1" a="1"/>
  <c r="P84" i="1" s="1"/>
  <c r="R84" i="1" a="1"/>
  <c r="R84" i="1" s="1"/>
  <c r="AW70" i="1"/>
  <c r="BB70" i="1" s="1" a="1"/>
  <c r="BB70" i="1" s="1"/>
  <c r="AH65" i="1" l="1"/>
  <c r="I65" i="1"/>
  <c r="BF65" i="1" s="1" a="1"/>
  <c r="BF65" i="1" s="1"/>
  <c r="BG65" i="1" s="1"/>
  <c r="C65" i="9" s="1" a="1"/>
  <c r="C65" i="9" s="1"/>
  <c r="AO65" i="1"/>
  <c r="Z65" i="1"/>
  <c r="F182" i="9"/>
  <c r="D182" i="9"/>
  <c r="Q84" i="1" a="1"/>
  <c r="Q84" i="1" s="1"/>
  <c r="T84" i="1" a="1"/>
  <c r="T84" i="1" s="1"/>
  <c r="L84" i="1" a="1"/>
  <c r="L84" i="1" s="1"/>
  <c r="G182" i="5"/>
  <c r="M84" i="1" a="1"/>
  <c r="M84" i="1" s="1"/>
  <c r="O84" i="1" a="1"/>
  <c r="O84" i="1" s="1"/>
  <c r="U84" i="1" a="1"/>
  <c r="U84" i="1" s="1"/>
  <c r="BS83" i="1"/>
  <c r="BU83" i="1" s="1"/>
  <c r="V84" i="1" a="1"/>
  <c r="V84" i="1" s="1"/>
  <c r="A182" i="9"/>
  <c r="BT83" i="1" l="1" a="1"/>
  <c r="BT83" i="1" s="1"/>
  <c r="BV83" i="1" s="1"/>
  <c r="D183" i="5"/>
  <c r="G183" i="5" s="1"/>
  <c r="Y84" i="1"/>
  <c r="O85" i="1" s="1" a="1"/>
  <c r="O85" i="1" s="1"/>
  <c r="C183" i="9"/>
  <c r="D183" i="9" s="1"/>
  <c r="BJ65" i="1" a="1"/>
  <c r="BJ65" i="1" s="1"/>
  <c r="F183" i="5" l="1"/>
  <c r="F183" i="9"/>
  <c r="A183" i="9" s="1"/>
  <c r="R85" i="1" a="1"/>
  <c r="R85" i="1" s="1"/>
  <c r="T85" i="1" a="1"/>
  <c r="T85" i="1" s="1"/>
  <c r="M85" i="1" a="1"/>
  <c r="M85" i="1" s="1"/>
  <c r="P85" i="1" a="1"/>
  <c r="P85" i="1" s="1"/>
  <c r="L85" i="1" a="1"/>
  <c r="L85" i="1" s="1"/>
  <c r="U85" i="1" a="1"/>
  <c r="U85" i="1" s="1"/>
  <c r="V85" i="1" a="1"/>
  <c r="V85" i="1" s="1"/>
  <c r="W85" i="1" a="1"/>
  <c r="W85" i="1" s="1"/>
  <c r="Q85" i="1" a="1"/>
  <c r="Q85" i="1" s="1"/>
  <c r="BS84" i="1"/>
  <c r="D184" i="5" s="1"/>
  <c r="F184" i="5" s="1"/>
  <c r="E183" i="9"/>
  <c r="D65" i="9"/>
  <c r="E65" i="9"/>
  <c r="F65" i="9" s="1"/>
  <c r="BK65" i="1" a="1"/>
  <c r="BK65" i="1" s="1"/>
  <c r="BM65" i="1" s="1"/>
  <c r="C65" i="5" a="1"/>
  <c r="C65" i="5" s="1"/>
  <c r="D65" i="5" s="1"/>
  <c r="E65" i="5" s="1" a="1"/>
  <c r="E65" i="5" s="1"/>
  <c r="BL65" i="1"/>
  <c r="G184" i="5" l="1"/>
  <c r="C184" i="9"/>
  <c r="D184" i="9" s="1"/>
  <c r="BU84" i="1"/>
  <c r="Y85" i="1"/>
  <c r="M86" i="1" s="1" a="1"/>
  <c r="M86" i="1" s="1"/>
  <c r="L86" i="1" a="1"/>
  <c r="L86" i="1" s="1"/>
  <c r="W86" i="1" a="1"/>
  <c r="W86" i="1" s="1"/>
  <c r="Q86" i="1" a="1"/>
  <c r="Q86" i="1" s="1"/>
  <c r="T86" i="1" a="1"/>
  <c r="T86" i="1" s="1"/>
  <c r="BT84" i="1" a="1"/>
  <c r="BT84" i="1" s="1"/>
  <c r="BV84" i="1" s="1"/>
  <c r="C165" i="5"/>
  <c r="E165" i="5" s="1" a="1"/>
  <c r="E165" i="5" s="1"/>
  <c r="A165" i="5" s="1"/>
  <c r="F65" i="5"/>
  <c r="G65" i="5" s="1"/>
  <c r="A65" i="9"/>
  <c r="BW65" i="1" a="1"/>
  <c r="F184" i="9" l="1"/>
  <c r="E184" i="9"/>
  <c r="A184" i="9"/>
  <c r="R86" i="1" a="1"/>
  <c r="R86" i="1" s="1"/>
  <c r="P86" i="1" a="1"/>
  <c r="P86" i="1" s="1"/>
  <c r="U86" i="1" a="1"/>
  <c r="U86" i="1" s="1"/>
  <c r="BS85" i="1"/>
  <c r="BT85" i="1" s="1" a="1"/>
  <c r="BT85" i="1" s="1"/>
  <c r="BV85" i="1" s="1"/>
  <c r="V86" i="1" a="1"/>
  <c r="V86" i="1" s="1"/>
  <c r="O86" i="1" a="1"/>
  <c r="O86" i="1" s="1"/>
  <c r="BW65" i="1"/>
  <c r="A65" i="5"/>
  <c r="BN65" i="1" a="1"/>
  <c r="D185" i="5" l="1"/>
  <c r="G185" i="5" s="1"/>
  <c r="C185" i="9"/>
  <c r="F185" i="9" s="1"/>
  <c r="BU85" i="1"/>
  <c r="Y86" i="1"/>
  <c r="W87" i="1" s="1" a="1"/>
  <c r="W87" i="1" s="1"/>
  <c r="F185" i="5"/>
  <c r="R87" i="1" a="1"/>
  <c r="R87" i="1" s="1"/>
  <c r="P87" i="1" a="1"/>
  <c r="P87" i="1" s="1"/>
  <c r="BN65" i="1"/>
  <c r="BP65" i="1" s="1"/>
  <c r="E185" i="9" l="1"/>
  <c r="D185" i="9"/>
  <c r="A185" i="9" s="1"/>
  <c r="Q87" i="1" a="1"/>
  <c r="Q87" i="1" s="1"/>
  <c r="M87" i="1" a="1"/>
  <c r="M87" i="1" s="1"/>
  <c r="U87" i="1" a="1"/>
  <c r="U87" i="1" s="1"/>
  <c r="O87" i="1" a="1"/>
  <c r="O87" i="1" s="1"/>
  <c r="T87" i="1" a="1"/>
  <c r="T87" i="1" s="1"/>
  <c r="L87" i="1" a="1"/>
  <c r="L87" i="1" s="1"/>
  <c r="V87" i="1" a="1"/>
  <c r="V87" i="1" s="1"/>
  <c r="BS86" i="1"/>
  <c r="BU86" i="1" s="1"/>
  <c r="BH65" i="1" a="1"/>
  <c r="BH65" i="1" s="1"/>
  <c r="D66" i="1" s="1" a="1"/>
  <c r="D66" i="1" s="1"/>
  <c r="BI65" i="1" a="1"/>
  <c r="BI65" i="1" s="1"/>
  <c r="F66" i="1" s="1" a="1"/>
  <c r="F66" i="1" s="1"/>
  <c r="Y87" i="1" l="1"/>
  <c r="BT86" i="1" a="1"/>
  <c r="BT86" i="1" s="1"/>
  <c r="BV86" i="1" s="1"/>
  <c r="P88" i="1" a="1"/>
  <c r="P88" i="1" s="1"/>
  <c r="M88" i="1" a="1"/>
  <c r="M88" i="1" s="1"/>
  <c r="Q88" i="1" a="1"/>
  <c r="Q88" i="1" s="1"/>
  <c r="V88" i="1" a="1"/>
  <c r="V88" i="1" s="1"/>
  <c r="T88" i="1" a="1"/>
  <c r="T88" i="1" s="1"/>
  <c r="L88" i="1" a="1"/>
  <c r="L88" i="1" s="1"/>
  <c r="O88" i="1" a="1"/>
  <c r="O88" i="1" s="1"/>
  <c r="R88" i="1" a="1"/>
  <c r="R88" i="1" s="1"/>
  <c r="U88" i="1" a="1"/>
  <c r="U88" i="1" s="1"/>
  <c r="W88" i="1" a="1"/>
  <c r="W88" i="1" s="1"/>
  <c r="BS87" i="1"/>
  <c r="C186" i="9"/>
  <c r="D186" i="5"/>
  <c r="CC65" i="1" a="1"/>
  <c r="CC65" i="1" s="1"/>
  <c r="CD65" i="1" s="1"/>
  <c r="BO65" i="1"/>
  <c r="BX65" i="1" s="1"/>
  <c r="BY65" i="1" s="1"/>
  <c r="BQ65" i="1"/>
  <c r="CA65" i="1" s="1"/>
  <c r="BE66" i="1" a="1"/>
  <c r="BE66" i="1" s="1"/>
  <c r="AC66" i="1" l="1" a="1"/>
  <c r="AC66" i="1" s="1"/>
  <c r="AE66" i="1" a="1"/>
  <c r="AE66" i="1" s="1"/>
  <c r="Y88" i="1"/>
  <c r="W89" i="1" a="1"/>
  <c r="W89" i="1" s="1"/>
  <c r="P89" i="1" a="1"/>
  <c r="P89" i="1" s="1"/>
  <c r="L89" i="1" a="1"/>
  <c r="L89" i="1" s="1"/>
  <c r="R89" i="1" a="1"/>
  <c r="R89" i="1" s="1"/>
  <c r="O89" i="1" a="1"/>
  <c r="O89" i="1" s="1"/>
  <c r="U89" i="1" a="1"/>
  <c r="U89" i="1" s="1"/>
  <c r="Q89" i="1" a="1"/>
  <c r="Q89" i="1" s="1"/>
  <c r="BS88" i="1"/>
  <c r="C188" i="9" s="1"/>
  <c r="T89" i="1" a="1"/>
  <c r="T89" i="1" s="1"/>
  <c r="M89" i="1" a="1"/>
  <c r="M89" i="1" s="1"/>
  <c r="V89" i="1" a="1"/>
  <c r="V89" i="1" s="1"/>
  <c r="G186" i="5"/>
  <c r="F186" i="5"/>
  <c r="E186" i="9"/>
  <c r="F186" i="9"/>
  <c r="D186" i="9"/>
  <c r="BU87" i="1"/>
  <c r="BT87" i="1" a="1"/>
  <c r="BT87" i="1" s="1"/>
  <c r="BV87" i="1" s="1"/>
  <c r="C187" i="9"/>
  <c r="D187" i="5"/>
  <c r="BU88" i="1"/>
  <c r="BT88" i="1" a="1"/>
  <c r="BT88" i="1" s="1"/>
  <c r="BV88" i="1" s="1"/>
  <c r="D188" i="5"/>
  <c r="F188" i="5" s="1"/>
  <c r="BD66" i="1" a="1"/>
  <c r="BD66" i="1" s="1"/>
  <c r="H66" i="1"/>
  <c r="F188" i="9"/>
  <c r="D188" i="9"/>
  <c r="E188" i="9"/>
  <c r="AG66" i="1" l="1"/>
  <c r="AK66" i="1" s="1"/>
  <c r="Y89" i="1"/>
  <c r="P90" i="1" s="1" a="1"/>
  <c r="P90" i="1" s="1"/>
  <c r="O90" i="1" a="1"/>
  <c r="O90" i="1" s="1"/>
  <c r="A186" i="9"/>
  <c r="D187" i="9"/>
  <c r="F187" i="9"/>
  <c r="E187" i="9"/>
  <c r="G187" i="5"/>
  <c r="F187" i="5"/>
  <c r="G188" i="5"/>
  <c r="A188" i="9"/>
  <c r="W90" i="1" a="1"/>
  <c r="W90" i="1" s="1"/>
  <c r="AW71" i="1"/>
  <c r="BB71" i="1" s="1" a="1"/>
  <c r="BB71" i="1" s="1"/>
  <c r="BS89" i="1" l="1"/>
  <c r="D189" i="5" s="1"/>
  <c r="I66" i="1"/>
  <c r="BF66" i="1" s="1" a="1"/>
  <c r="BF66" i="1" s="1"/>
  <c r="BG66" i="1" s="1"/>
  <c r="C66" i="9" s="1" a="1"/>
  <c r="C66" i="9" s="1"/>
  <c r="Z66" i="1"/>
  <c r="AO66" i="1"/>
  <c r="AH66" i="1"/>
  <c r="U90" i="1" a="1"/>
  <c r="U90" i="1" s="1"/>
  <c r="T90" i="1" a="1"/>
  <c r="T90" i="1" s="1"/>
  <c r="R90" i="1" a="1"/>
  <c r="R90" i="1" s="1"/>
  <c r="M90" i="1" a="1"/>
  <c r="M90" i="1" s="1"/>
  <c r="L90" i="1" a="1"/>
  <c r="L90" i="1" s="1"/>
  <c r="Q90" i="1" a="1"/>
  <c r="Q90" i="1" s="1"/>
  <c r="V90" i="1" a="1"/>
  <c r="V90" i="1" s="1"/>
  <c r="A187" i="9"/>
  <c r="BT89" i="1" a="1"/>
  <c r="BT89" i="1" s="1"/>
  <c r="BV89" i="1" s="1"/>
  <c r="C189" i="9"/>
  <c r="D189" i="9" s="1"/>
  <c r="BU89" i="1"/>
  <c r="G189" i="5"/>
  <c r="F189" i="5"/>
  <c r="Y90" i="1" l="1"/>
  <c r="BS90" i="1" s="1"/>
  <c r="P91" i="1" a="1"/>
  <c r="P91" i="1" s="1"/>
  <c r="O91" i="1" a="1"/>
  <c r="O91" i="1" s="1"/>
  <c r="E189" i="9"/>
  <c r="F189" i="9"/>
  <c r="A189" i="9" s="1"/>
  <c r="V91" i="1" a="1"/>
  <c r="V91" i="1" s="1"/>
  <c r="W91" i="1" a="1"/>
  <c r="W91" i="1" s="1"/>
  <c r="M91" i="1" a="1"/>
  <c r="M91" i="1" s="1"/>
  <c r="BT90" i="1" a="1"/>
  <c r="BT90" i="1" s="1"/>
  <c r="BV90" i="1" s="1"/>
  <c r="BU90" i="1"/>
  <c r="D190" i="5"/>
  <c r="G190" i="5" s="1"/>
  <c r="C190" i="9"/>
  <c r="F190" i="9" s="1"/>
  <c r="L91" i="1" a="1"/>
  <c r="L91" i="1" s="1"/>
  <c r="U91" i="1" a="1"/>
  <c r="U91" i="1" s="1"/>
  <c r="Q91" i="1" a="1"/>
  <c r="Q91" i="1" s="1"/>
  <c r="R91" i="1" a="1"/>
  <c r="R91" i="1" s="1"/>
  <c r="T91" i="1" a="1"/>
  <c r="T91" i="1" s="1"/>
  <c r="BJ66" i="1" a="1"/>
  <c r="BJ66" i="1" s="1"/>
  <c r="F190" i="5" l="1"/>
  <c r="E190" i="9"/>
  <c r="D190" i="9"/>
  <c r="A190" i="9" s="1"/>
  <c r="Y91" i="1"/>
  <c r="Q92" i="1" s="1" a="1"/>
  <c r="Q92" i="1" s="1"/>
  <c r="D66" i="9"/>
  <c r="E66" i="9"/>
  <c r="F66" i="9" s="1"/>
  <c r="C66" i="5" a="1"/>
  <c r="C66" i="5" s="1"/>
  <c r="D66" i="5" s="1"/>
  <c r="E66" i="5" s="1" a="1"/>
  <c r="E66" i="5" s="1"/>
  <c r="BK66" i="1" a="1"/>
  <c r="BK66" i="1" s="1"/>
  <c r="BM66" i="1" s="1"/>
  <c r="BL66" i="1"/>
  <c r="U92" i="1" l="1" a="1"/>
  <c r="U92" i="1" s="1"/>
  <c r="BS91" i="1"/>
  <c r="D191" i="5" s="1"/>
  <c r="G191" i="5" s="1"/>
  <c r="V92" i="1" a="1"/>
  <c r="V92" i="1" s="1"/>
  <c r="W92" i="1" a="1"/>
  <c r="W92" i="1" s="1"/>
  <c r="R92" i="1" a="1"/>
  <c r="R92" i="1" s="1"/>
  <c r="P92" i="1" a="1"/>
  <c r="P92" i="1" s="1"/>
  <c r="L92" i="1" a="1"/>
  <c r="L92" i="1" s="1"/>
  <c r="T92" i="1" a="1"/>
  <c r="T92" i="1" s="1"/>
  <c r="M92" i="1" a="1"/>
  <c r="M92" i="1" s="1"/>
  <c r="O92" i="1" a="1"/>
  <c r="O92" i="1" s="1"/>
  <c r="A66" i="9"/>
  <c r="C166" i="5"/>
  <c r="E166" i="5" s="1" a="1"/>
  <c r="E166" i="5" s="1"/>
  <c r="A166" i="5" s="1"/>
  <c r="F66" i="5"/>
  <c r="G66" i="5"/>
  <c r="BW66" i="1" a="1"/>
  <c r="F191" i="5" l="1"/>
  <c r="BU91" i="1"/>
  <c r="C191" i="9"/>
  <c r="F191" i="9" s="1"/>
  <c r="BT91" i="1" a="1"/>
  <c r="BT91" i="1" s="1"/>
  <c r="BV91" i="1" s="1"/>
  <c r="D191" i="9"/>
  <c r="A191" i="9" s="1"/>
  <c r="Y92" i="1"/>
  <c r="BS92" i="1" s="1"/>
  <c r="BT92" i="1" s="1" a="1"/>
  <c r="BT92" i="1" s="1"/>
  <c r="BV92" i="1" s="1"/>
  <c r="BW66" i="1"/>
  <c r="A66" i="5"/>
  <c r="BN66" i="1" a="1"/>
  <c r="E191" i="9" l="1"/>
  <c r="D192" i="5"/>
  <c r="F192" i="5" s="1"/>
  <c r="BU92" i="1"/>
  <c r="C192" i="9"/>
  <c r="F192" i="9" s="1"/>
  <c r="BS2" i="1"/>
  <c r="BN66" i="1"/>
  <c r="BP66" i="1" s="1"/>
  <c r="BH66" i="1" l="1" a="1"/>
  <c r="BH66" i="1" s="1"/>
  <c r="D67" i="1" s="1" a="1"/>
  <c r="D67" i="1" s="1"/>
  <c r="BI66" i="1" a="1"/>
  <c r="BI66" i="1" s="1"/>
  <c r="F67" i="1" s="1" a="1"/>
  <c r="F67" i="1" s="1"/>
  <c r="G192" i="5"/>
  <c r="E192" i="9"/>
  <c r="D192" i="9"/>
  <c r="A192" i="9" s="1"/>
  <c r="BE67" i="1" l="1" a="1"/>
  <c r="BE67" i="1" s="1"/>
  <c r="BO66" i="1"/>
  <c r="BX66" i="1" s="1"/>
  <c r="BY66" i="1" s="1"/>
  <c r="BQ66" i="1"/>
  <c r="CA66" i="1" s="1"/>
  <c r="CC66" i="1" s="1" a="1"/>
  <c r="CC66" i="1" s="1"/>
  <c r="CD66" i="1" s="1"/>
  <c r="AE67" i="1" l="1" a="1"/>
  <c r="AE67" i="1" s="1"/>
  <c r="AC67" i="1" a="1"/>
  <c r="AC67" i="1" s="1"/>
  <c r="AG67" i="1" s="1"/>
  <c r="H67" i="1"/>
  <c r="BD67" i="1" a="1"/>
  <c r="BD67" i="1" s="1"/>
  <c r="AW72" i="1"/>
  <c r="BB72" i="1" s="1" a="1"/>
  <c r="BB72" i="1" s="1"/>
  <c r="AK67" i="1" l="1"/>
  <c r="I67" i="1"/>
  <c r="BF67" i="1" s="1" a="1"/>
  <c r="BF67" i="1" s="1"/>
  <c r="Z67" i="1"/>
  <c r="AO67" i="1"/>
  <c r="AH67" i="1"/>
  <c r="BG67" i="1" l="1"/>
  <c r="C67" i="9" s="1" a="1"/>
  <c r="C67" i="9" s="1"/>
  <c r="BJ67" i="1" l="1" a="1"/>
  <c r="BJ67" i="1" s="1"/>
  <c r="C67" i="5" s="1" a="1"/>
  <c r="C67" i="5" s="1"/>
  <c r="D67" i="5" s="1"/>
  <c r="E67" i="5" s="1" a="1"/>
  <c r="E67" i="5" s="1"/>
  <c r="D67" i="9"/>
  <c r="E67" i="9"/>
  <c r="F67" i="9" s="1"/>
  <c r="BK67" i="1" l="1" a="1"/>
  <c r="BK67" i="1" s="1"/>
  <c r="BM67" i="1" s="1"/>
  <c r="BL67" i="1"/>
  <c r="A67" i="9"/>
  <c r="C167" i="5"/>
  <c r="E167" i="5" s="1" a="1"/>
  <c r="E167" i="5" s="1"/>
  <c r="A167" i="5" s="1"/>
  <c r="F67" i="5"/>
  <c r="G67" i="5" s="1"/>
  <c r="BW67" i="1" a="1"/>
  <c r="BW67" i="1" l="1"/>
  <c r="A67" i="5"/>
  <c r="BN67" i="1" a="1"/>
  <c r="BN67" i="1" l="1"/>
  <c r="BP67" i="1" s="1"/>
  <c r="BH67" i="1" l="1" a="1"/>
  <c r="BH67" i="1" s="1"/>
  <c r="D68" i="1" s="1" a="1"/>
  <c r="D68" i="1" s="1"/>
  <c r="BI67" i="1" a="1"/>
  <c r="BI67" i="1" s="1"/>
  <c r="F68" i="1" s="1" a="1"/>
  <c r="F68" i="1" s="1"/>
  <c r="BE68" i="1" l="1" a="1"/>
  <c r="BE68" i="1" s="1"/>
  <c r="BO67" i="1"/>
  <c r="BX67" i="1" s="1"/>
  <c r="BY67" i="1" s="1"/>
  <c r="BQ67" i="1"/>
  <c r="CA67" i="1" s="1"/>
  <c r="CC67" i="1" s="1" a="1"/>
  <c r="CC67" i="1" s="1"/>
  <c r="CD67" i="1" s="1"/>
  <c r="AE68" i="1" l="1" a="1"/>
  <c r="AE68" i="1" s="1"/>
  <c r="AC68" i="1" a="1"/>
  <c r="AC68" i="1" s="1"/>
  <c r="AG68" i="1" s="1"/>
  <c r="H68" i="1"/>
  <c r="BD68" i="1" a="1"/>
  <c r="BD68" i="1" s="1"/>
  <c r="AK68" i="1" l="1"/>
  <c r="AH68" i="1" s="1"/>
  <c r="I68" i="1"/>
  <c r="BF68" i="1" s="1" a="1"/>
  <c r="BF68" i="1" s="1"/>
  <c r="Z68" i="1"/>
  <c r="AO68" i="1"/>
  <c r="AW73" i="1"/>
  <c r="BB73" i="1" s="1" a="1"/>
  <c r="BB73" i="1" s="1"/>
  <c r="BG68" i="1" l="1"/>
  <c r="C68" i="9" s="1" a="1"/>
  <c r="C68" i="9" s="1"/>
  <c r="BJ68" i="1" l="1" a="1"/>
  <c r="BJ68" i="1" s="1"/>
  <c r="D68" i="9" l="1"/>
  <c r="E68" i="9"/>
  <c r="F68" i="9" s="1"/>
  <c r="C68" i="5" a="1"/>
  <c r="C68" i="5" s="1"/>
  <c r="D68" i="5" s="1"/>
  <c r="E68" i="5" s="1" a="1"/>
  <c r="E68" i="5" s="1"/>
  <c r="BK68" i="1" a="1"/>
  <c r="BK68" i="1" s="1"/>
  <c r="BM68" i="1" s="1"/>
  <c r="BL68" i="1"/>
  <c r="A68" i="9" l="1"/>
  <c r="F68" i="5"/>
  <c r="C168" i="5"/>
  <c r="E168" i="5" s="1" a="1"/>
  <c r="E168" i="5" s="1"/>
  <c r="A168" i="5" s="1"/>
  <c r="G68" i="5"/>
  <c r="BW68" i="1" a="1"/>
  <c r="BW68" i="1" l="1"/>
  <c r="A68" i="5"/>
  <c r="BN68" i="1" a="1"/>
  <c r="BN68" i="1" l="1"/>
  <c r="BP68" i="1" s="1"/>
  <c r="BH68" i="1" l="1" a="1"/>
  <c r="BH68" i="1" s="1"/>
  <c r="D69" i="1" s="1" a="1"/>
  <c r="D69" i="1" s="1"/>
  <c r="BI68" i="1" a="1"/>
  <c r="BI68" i="1" s="1"/>
  <c r="F69" i="1" s="1" a="1"/>
  <c r="F69" i="1" s="1"/>
  <c r="BE69" i="1" l="1" a="1"/>
  <c r="BE69" i="1" s="1"/>
  <c r="BQ68" i="1"/>
  <c r="CA68" i="1" s="1"/>
  <c r="CC68" i="1" s="1" a="1"/>
  <c r="CC68" i="1" s="1"/>
  <c r="CD68" i="1" s="1"/>
  <c r="BO68" i="1"/>
  <c r="BX68" i="1" s="1"/>
  <c r="BY68" i="1" s="1"/>
  <c r="AE69" i="1" l="1" a="1"/>
  <c r="AE69" i="1" s="1"/>
  <c r="AC69" i="1" a="1"/>
  <c r="AC69" i="1" s="1"/>
  <c r="BD69" i="1" a="1"/>
  <c r="BD69" i="1" s="1"/>
  <c r="H69" i="1"/>
  <c r="AW74" i="1"/>
  <c r="BB74" i="1" s="1" a="1"/>
  <c r="BB74" i="1" s="1"/>
  <c r="AG69" i="1" l="1"/>
  <c r="AK69" i="1" s="1"/>
  <c r="I69" i="1" l="1"/>
  <c r="BF69" i="1" s="1" a="1"/>
  <c r="BF69" i="1" s="1"/>
  <c r="BG69" i="1" s="1"/>
  <c r="C69" i="9" s="1" a="1"/>
  <c r="C69" i="9" s="1"/>
  <c r="Z69" i="1"/>
  <c r="AH69" i="1"/>
  <c r="AO69" i="1"/>
  <c r="BJ69" i="1" l="1" a="1"/>
  <c r="BJ69" i="1" s="1"/>
  <c r="D69" i="9" l="1"/>
  <c r="E69" i="9"/>
  <c r="F69" i="9" s="1"/>
  <c r="C69" i="5" a="1"/>
  <c r="C69" i="5" s="1"/>
  <c r="D69" i="5" s="1"/>
  <c r="E69" i="5" s="1" a="1"/>
  <c r="E69" i="5" s="1"/>
  <c r="BK69" i="1" a="1"/>
  <c r="BK69" i="1" s="1"/>
  <c r="BM69" i="1" s="1"/>
  <c r="BL69" i="1"/>
  <c r="A69" i="9" l="1"/>
  <c r="C169" i="5"/>
  <c r="E169" i="5" s="1" a="1"/>
  <c r="E169" i="5" s="1"/>
  <c r="A169" i="5" s="1"/>
  <c r="F69" i="5"/>
  <c r="G69" i="5" s="1"/>
  <c r="BW69" i="1" a="1"/>
  <c r="BW69" i="1" l="1"/>
  <c r="A69" i="5"/>
  <c r="BN69" i="1" a="1"/>
  <c r="BN69" i="1" l="1"/>
  <c r="BP69" i="1" s="1"/>
  <c r="BH69" i="1" l="1" a="1"/>
  <c r="BH69" i="1" s="1"/>
  <c r="D70" i="1" s="1" a="1"/>
  <c r="D70" i="1" s="1"/>
  <c r="BI69" i="1" a="1"/>
  <c r="BI69" i="1" s="1"/>
  <c r="F70" i="1" s="1" a="1"/>
  <c r="F70" i="1" s="1"/>
  <c r="BQ69" i="1" l="1"/>
  <c r="CA69" i="1" s="1"/>
  <c r="CC69" i="1" a="1"/>
  <c r="CC69" i="1" s="1"/>
  <c r="CD69" i="1" s="1"/>
  <c r="BO69" i="1"/>
  <c r="BX69" i="1" s="1"/>
  <c r="BY69" i="1" s="1"/>
  <c r="BE70" i="1" a="1"/>
  <c r="BE70" i="1" s="1"/>
  <c r="AW75" i="1"/>
  <c r="BB75" i="1" s="1" a="1"/>
  <c r="BB75" i="1" s="1"/>
  <c r="AC70" i="1" l="1" a="1"/>
  <c r="AC70" i="1" s="1"/>
  <c r="AE70" i="1" a="1"/>
  <c r="AE70" i="1" s="1"/>
  <c r="H70" i="1"/>
  <c r="BD70" i="1" a="1"/>
  <c r="BD70" i="1" s="1"/>
  <c r="AG70" i="1" l="1"/>
  <c r="AK70" i="1" l="1"/>
  <c r="AH70" i="1" l="1"/>
  <c r="Z70" i="1"/>
  <c r="AO70" i="1"/>
  <c r="I70" i="1"/>
  <c r="BF70" i="1" s="1" a="1"/>
  <c r="BF70" i="1" s="1"/>
  <c r="BG70" i="1" s="1"/>
  <c r="C70" i="9" s="1" a="1"/>
  <c r="C70" i="9" s="1"/>
  <c r="BJ70" i="1" l="1" a="1"/>
  <c r="BJ70" i="1" s="1"/>
  <c r="D70" i="9"/>
  <c r="E70" i="9"/>
  <c r="F70" i="9" s="1"/>
  <c r="BK70" i="1" a="1"/>
  <c r="BK70" i="1" s="1"/>
  <c r="BM70" i="1" s="1"/>
  <c r="C70" i="5" a="1"/>
  <c r="C70" i="5" s="1"/>
  <c r="D70" i="5" s="1"/>
  <c r="E70" i="5" s="1" a="1"/>
  <c r="E70" i="5" s="1"/>
  <c r="BL70" i="1"/>
  <c r="F70" i="5" l="1"/>
  <c r="C170" i="5"/>
  <c r="E170" i="5" s="1" a="1"/>
  <c r="E170" i="5" s="1"/>
  <c r="A170" i="5" s="1"/>
  <c r="G70" i="5"/>
  <c r="A70" i="9"/>
  <c r="BW70" i="1" a="1"/>
  <c r="BW70" i="1" l="1"/>
  <c r="A70" i="5"/>
  <c r="BN70" i="1" a="1"/>
  <c r="BN70" i="1" l="1"/>
  <c r="BP70" i="1" s="1"/>
  <c r="BH70" i="1" l="1" a="1"/>
  <c r="BH70" i="1" s="1"/>
  <c r="D71" i="1" s="1" a="1"/>
  <c r="D71" i="1" s="1"/>
  <c r="BI70" i="1" a="1"/>
  <c r="BI70" i="1" s="1"/>
  <c r="F71" i="1" s="1" a="1"/>
  <c r="F71" i="1" s="1"/>
  <c r="AW76" i="1"/>
  <c r="BB76" i="1" s="1" a="1"/>
  <c r="BB76" i="1" s="1"/>
  <c r="BQ70" i="1" l="1"/>
  <c r="CA70" i="1" s="1"/>
  <c r="BO70" i="1"/>
  <c r="BX70" i="1" s="1"/>
  <c r="BY70" i="1" s="1"/>
  <c r="CC70" i="1" a="1"/>
  <c r="CC70" i="1" s="1"/>
  <c r="CD70" i="1" s="1"/>
  <c r="BE71" i="1" a="1"/>
  <c r="BE71" i="1" s="1"/>
  <c r="AC71" i="1" l="1" a="1"/>
  <c r="AC71" i="1" s="1"/>
  <c r="AE71" i="1" a="1"/>
  <c r="AE71" i="1" s="1"/>
  <c r="H71" i="1"/>
  <c r="BD71" i="1" a="1"/>
  <c r="BD71" i="1" s="1"/>
  <c r="AG71" i="1" l="1"/>
  <c r="AK71" i="1" l="1"/>
  <c r="AH71" i="1" l="1"/>
  <c r="I71" i="1"/>
  <c r="BF71" i="1" s="1" a="1"/>
  <c r="BF71" i="1" s="1"/>
  <c r="BG71" i="1" s="1"/>
  <c r="C71" i="9" s="1" a="1"/>
  <c r="C71" i="9" s="1"/>
  <c r="AO71" i="1"/>
  <c r="Z71" i="1"/>
  <c r="BJ71" i="1" l="1" a="1"/>
  <c r="BJ71" i="1" s="1"/>
  <c r="C71" i="5" s="1" a="1"/>
  <c r="C71" i="5" s="1"/>
  <c r="D71" i="5" s="1"/>
  <c r="E71" i="5" s="1" a="1"/>
  <c r="E71" i="5" s="1"/>
  <c r="D71" i="9"/>
  <c r="E71" i="9"/>
  <c r="F71" i="9" s="1"/>
  <c r="BL71" i="1" l="1"/>
  <c r="BK71" i="1" a="1"/>
  <c r="BK71" i="1" s="1"/>
  <c r="BM71" i="1" s="1"/>
  <c r="A71" i="9"/>
  <c r="C171" i="5"/>
  <c r="E171" i="5" s="1" a="1"/>
  <c r="E171" i="5" s="1"/>
  <c r="A171" i="5" s="1"/>
  <c r="F71" i="5"/>
  <c r="G71" i="5" s="1"/>
  <c r="BW71" i="1" a="1"/>
  <c r="BW71" i="1" l="1"/>
  <c r="A71" i="5"/>
  <c r="BN71" i="1" a="1"/>
  <c r="BN71" i="1" l="1"/>
  <c r="BP71" i="1" s="1"/>
  <c r="BH71" i="1" l="1" a="1"/>
  <c r="BH71" i="1" s="1"/>
  <c r="D72" i="1" s="1" a="1"/>
  <c r="D72" i="1" s="1"/>
  <c r="BI71" i="1" a="1"/>
  <c r="BI71" i="1" s="1"/>
  <c r="F72" i="1" s="1" a="1"/>
  <c r="F72" i="1" s="1"/>
  <c r="AW77" i="1"/>
  <c r="BB77" i="1" s="1" a="1"/>
  <c r="BB77" i="1" s="1"/>
  <c r="BE72" i="1" l="1" a="1"/>
  <c r="BE72" i="1" s="1"/>
  <c r="BQ71" i="1"/>
  <c r="CA71" i="1" s="1"/>
  <c r="BO71" i="1"/>
  <c r="BX71" i="1" s="1"/>
  <c r="BY71" i="1" s="1"/>
  <c r="CC71" i="1" a="1"/>
  <c r="CC71" i="1" s="1"/>
  <c r="CD71" i="1" s="1"/>
  <c r="AC72" i="1" l="1" a="1"/>
  <c r="AC72" i="1" s="1"/>
  <c r="AE72" i="1" a="1"/>
  <c r="AE72" i="1" s="1"/>
  <c r="BD72" i="1" a="1"/>
  <c r="BD72" i="1" s="1"/>
  <c r="H72" i="1"/>
  <c r="AG72" i="1" l="1"/>
  <c r="AK72" i="1" l="1"/>
  <c r="Z72" i="1" l="1"/>
  <c r="I72" i="1"/>
  <c r="BF72" i="1" s="1" a="1"/>
  <c r="BF72" i="1" s="1"/>
  <c r="BG72" i="1" s="1"/>
  <c r="C72" i="9" s="1" a="1"/>
  <c r="C72" i="9" s="1"/>
  <c r="AH72" i="1"/>
  <c r="AO72" i="1"/>
  <c r="BJ72" i="1" l="1" a="1"/>
  <c r="BJ72" i="1" s="1"/>
  <c r="BK72" i="1" s="1" a="1"/>
  <c r="BK72" i="1" s="1"/>
  <c r="BM72" i="1" s="1"/>
  <c r="D72" i="9"/>
  <c r="E72" i="9"/>
  <c r="F72" i="9"/>
  <c r="BL72" i="1" l="1"/>
  <c r="C72" i="5" a="1"/>
  <c r="C72" i="5" s="1"/>
  <c r="D72" i="5" s="1"/>
  <c r="E72" i="5" s="1" a="1"/>
  <c r="E72" i="5" s="1"/>
  <c r="A72" i="9"/>
  <c r="F72" i="5" l="1"/>
  <c r="G72" i="5" s="1"/>
  <c r="C172" i="5"/>
  <c r="E172" i="5" s="1" a="1"/>
  <c r="E172" i="5" s="1"/>
  <c r="A172" i="5" s="1"/>
  <c r="A72" i="5"/>
  <c r="BW72" i="1" a="1"/>
  <c r="BN72" i="1" a="1"/>
  <c r="BW72" i="1" l="1"/>
  <c r="BN72" i="1"/>
  <c r="BP72" i="1" s="1"/>
  <c r="BH72" i="1" l="1" a="1"/>
  <c r="BH72" i="1" s="1"/>
  <c r="D73" i="1" s="1" a="1"/>
  <c r="D73" i="1" s="1"/>
  <c r="BI72" i="1" a="1"/>
  <c r="BI72" i="1" s="1"/>
  <c r="F73" i="1" s="1" a="1"/>
  <c r="F73" i="1" s="1"/>
  <c r="AW78" i="1"/>
  <c r="BB78" i="1" s="1" a="1"/>
  <c r="BB78" i="1" s="1"/>
  <c r="BQ72" i="1" l="1"/>
  <c r="CA72" i="1" s="1"/>
  <c r="CC72" i="1" a="1"/>
  <c r="CC72" i="1" s="1"/>
  <c r="CD72" i="1" s="1"/>
  <c r="BO72" i="1"/>
  <c r="BX72" i="1" s="1"/>
  <c r="BY72" i="1" s="1"/>
  <c r="BE73" i="1" a="1"/>
  <c r="BE73" i="1" s="1"/>
  <c r="AC73" i="1" l="1" a="1"/>
  <c r="AC73" i="1" s="1"/>
  <c r="AE73" i="1" a="1"/>
  <c r="AE73" i="1" s="1"/>
  <c r="H73" i="1"/>
  <c r="BD73" i="1" a="1"/>
  <c r="BD73" i="1" s="1"/>
  <c r="AG73" i="1" l="1"/>
  <c r="AK73" i="1" l="1"/>
  <c r="Z73" i="1" l="1"/>
  <c r="AH73" i="1"/>
  <c r="AO73" i="1"/>
  <c r="I73" i="1"/>
  <c r="BF73" i="1" s="1" a="1"/>
  <c r="BF73" i="1" s="1"/>
  <c r="BG73" i="1" s="1"/>
  <c r="C73" i="9" s="1" a="1"/>
  <c r="C73" i="9" s="1"/>
  <c r="BJ73" i="1" l="1" a="1"/>
  <c r="BJ73" i="1" s="1"/>
  <c r="E73" i="9"/>
  <c r="F73" i="9" s="1"/>
  <c r="D73" i="9"/>
  <c r="BK73" i="1" a="1"/>
  <c r="BK73" i="1" s="1"/>
  <c r="BM73" i="1" s="1"/>
  <c r="C73" i="5" a="1"/>
  <c r="C73" i="5" s="1"/>
  <c r="D73" i="5" s="1"/>
  <c r="E73" i="5" s="1" a="1"/>
  <c r="E73" i="5" s="1"/>
  <c r="BL73" i="1"/>
  <c r="A73" i="9" l="1"/>
  <c r="C173" i="5"/>
  <c r="E173" i="5" s="1" a="1"/>
  <c r="E173" i="5" s="1"/>
  <c r="A173" i="5" s="1"/>
  <c r="F73" i="5"/>
  <c r="G73" i="5" s="1"/>
  <c r="BW73" i="1" a="1"/>
  <c r="BW73" i="1" l="1"/>
  <c r="A73" i="5"/>
  <c r="BN73" i="1" a="1"/>
  <c r="BN73" i="1" l="1"/>
  <c r="BP73" i="1" s="1"/>
  <c r="BH73" i="1" l="1" a="1"/>
  <c r="BH73" i="1" s="1"/>
  <c r="D74" i="1" s="1" a="1"/>
  <c r="D74" i="1" s="1"/>
  <c r="BI73" i="1" a="1"/>
  <c r="BI73" i="1" s="1"/>
  <c r="F74" i="1" s="1" a="1"/>
  <c r="F74" i="1" s="1"/>
  <c r="AW79" i="1"/>
  <c r="BB79" i="1" s="1" a="1"/>
  <c r="BB79" i="1" s="1"/>
  <c r="BE74" i="1" l="1" a="1"/>
  <c r="BE74" i="1" s="1"/>
  <c r="BQ73" i="1"/>
  <c r="CA73" i="1" s="1"/>
  <c r="CC73" i="1" a="1"/>
  <c r="CC73" i="1" s="1"/>
  <c r="CD73" i="1" s="1"/>
  <c r="BO73" i="1"/>
  <c r="BX73" i="1" s="1"/>
  <c r="BY73" i="1" s="1"/>
  <c r="AE74" i="1" l="1" a="1"/>
  <c r="AE74" i="1" s="1"/>
  <c r="AC74" i="1" a="1"/>
  <c r="AC74" i="1" s="1"/>
  <c r="H74" i="1"/>
  <c r="BD74" i="1" a="1"/>
  <c r="BD74" i="1" s="1"/>
  <c r="AG74" i="1" l="1"/>
  <c r="AK74" i="1" s="1"/>
  <c r="AH74" i="1" l="1"/>
  <c r="AO74" i="1"/>
  <c r="Z74" i="1"/>
  <c r="I74" i="1"/>
  <c r="BF74" i="1" s="1" a="1"/>
  <c r="BF74" i="1" s="1"/>
  <c r="BG74" i="1" s="1"/>
  <c r="C74" i="9" s="1" a="1"/>
  <c r="C74" i="9" s="1"/>
  <c r="BJ74" i="1" l="1" a="1"/>
  <c r="BJ74" i="1" s="1"/>
  <c r="D74" i="9"/>
  <c r="E74" i="9" l="1"/>
  <c r="F74" i="9" s="1"/>
  <c r="A74" i="9" s="1"/>
  <c r="C74" i="5" a="1"/>
  <c r="C74" i="5" s="1"/>
  <c r="D74" i="5" s="1"/>
  <c r="E74" i="5" s="1" a="1"/>
  <c r="E74" i="5" s="1"/>
  <c r="BK74" i="1" a="1"/>
  <c r="BK74" i="1" s="1"/>
  <c r="BM74" i="1" s="1"/>
  <c r="BL74" i="1"/>
  <c r="C174" i="5" l="1"/>
  <c r="E174" i="5" s="1" a="1"/>
  <c r="E174" i="5" s="1"/>
  <c r="A174" i="5" s="1"/>
  <c r="F74" i="5"/>
  <c r="G74" i="5" s="1"/>
  <c r="BW74" i="1" a="1"/>
  <c r="BW74" i="1" l="1"/>
  <c r="A74" i="5"/>
  <c r="BN74" i="1" a="1"/>
  <c r="BN74" i="1" l="1"/>
  <c r="BP74" i="1" s="1"/>
  <c r="BH74" i="1" l="1" a="1"/>
  <c r="BH74" i="1" s="1"/>
  <c r="D75" i="1" s="1" a="1"/>
  <c r="D75" i="1" s="1"/>
  <c r="BI74" i="1" a="1"/>
  <c r="BI74" i="1" s="1"/>
  <c r="F75" i="1" s="1" a="1"/>
  <c r="F75" i="1" s="1"/>
  <c r="AW80" i="1"/>
  <c r="BB80" i="1" s="1" a="1"/>
  <c r="BB80" i="1" s="1"/>
  <c r="BQ74" i="1" l="1"/>
  <c r="CA74" i="1" s="1"/>
  <c r="CC74" i="1" s="1" a="1"/>
  <c r="CC74" i="1" s="1"/>
  <c r="CD74" i="1" s="1"/>
  <c r="BO74" i="1"/>
  <c r="BX74" i="1" s="1"/>
  <c r="BY74" i="1" s="1"/>
  <c r="BE75" i="1" a="1"/>
  <c r="BE75" i="1" s="1"/>
  <c r="AE75" i="1" l="1" a="1"/>
  <c r="AE75" i="1" s="1"/>
  <c r="AC75" i="1" a="1"/>
  <c r="AC75" i="1" s="1"/>
  <c r="H75" i="1"/>
  <c r="BD75" i="1" a="1"/>
  <c r="BD75" i="1" s="1"/>
  <c r="AG75" i="1" l="1"/>
  <c r="AK75" i="1"/>
  <c r="CA75" i="1"/>
  <c r="AC76" i="1" s="1" a="1"/>
  <c r="AC76" i="1" s="1"/>
  <c r="AE76" i="1" a="1"/>
  <c r="AE76" i="1" s="1"/>
  <c r="AH75" i="1"/>
  <c r="I75" i="1"/>
  <c r="BF75" i="1" s="1" a="1"/>
  <c r="BF75" i="1" s="1"/>
  <c r="Z75" i="1"/>
  <c r="AO75" i="1"/>
  <c r="AG76" i="1" l="1"/>
  <c r="CA76" i="1" s="1"/>
  <c r="BG75" i="1"/>
  <c r="C75" i="9" s="1" a="1"/>
  <c r="C75" i="9" s="1"/>
  <c r="AC77" i="1" l="1" a="1"/>
  <c r="AC77" i="1" s="1"/>
  <c r="AE77" i="1" a="1"/>
  <c r="AE77" i="1" s="1"/>
  <c r="BJ75" i="1" a="1"/>
  <c r="BJ75" i="1" s="1"/>
  <c r="AG77" i="1" l="1"/>
  <c r="CA77" i="1" s="1"/>
  <c r="AE78" i="1" s="1" a="1"/>
  <c r="AE78" i="1" s="1"/>
  <c r="C75" i="5" a="1"/>
  <c r="C75" i="5" s="1"/>
  <c r="D75" i="5" s="1"/>
  <c r="E75" i="5" s="1" a="1"/>
  <c r="E75" i="5" s="1"/>
  <c r="BK75" i="1" a="1"/>
  <c r="BK75" i="1" s="1"/>
  <c r="BM75" i="1" s="1"/>
  <c r="BL75" i="1"/>
  <c r="D75" i="9"/>
  <c r="E75" i="9" s="1"/>
  <c r="F75" i="9"/>
  <c r="AC78" i="1" l="1" a="1"/>
  <c r="AC78" i="1" s="1"/>
  <c r="AG78" i="1" s="1"/>
  <c r="A75" i="9"/>
  <c r="C175" i="5"/>
  <c r="E175" i="5" s="1" a="1"/>
  <c r="E175" i="5" s="1"/>
  <c r="A175" i="5" s="1"/>
  <c r="F75" i="5"/>
  <c r="G75" i="5" s="1"/>
  <c r="BW75" i="1" a="1"/>
  <c r="CA78" i="1" l="1"/>
  <c r="AC79" i="1" s="1" a="1"/>
  <c r="AC79" i="1" s="1"/>
  <c r="BW75" i="1"/>
  <c r="A75" i="5"/>
  <c r="BN75" i="1" a="1"/>
  <c r="AE79" i="1" l="1" a="1"/>
  <c r="AE79" i="1" s="1"/>
  <c r="AG79" i="1" s="1"/>
  <c r="BN75" i="1"/>
  <c r="BP75" i="1" s="1"/>
  <c r="CA79" i="1" l="1"/>
  <c r="AE80" i="1" s="1" a="1"/>
  <c r="AE80" i="1" s="1"/>
  <c r="AC80" i="1" a="1"/>
  <c r="AC80" i="1" s="1"/>
  <c r="BH75" i="1" a="1"/>
  <c r="BH75" i="1" s="1"/>
  <c r="D76" i="1" s="1" a="1"/>
  <c r="D76" i="1" s="1"/>
  <c r="BI75" i="1" a="1"/>
  <c r="BI75" i="1" s="1"/>
  <c r="F76" i="1" s="1" a="1"/>
  <c r="F76" i="1" s="1"/>
  <c r="AW81" i="1"/>
  <c r="BB81" i="1" s="1" a="1"/>
  <c r="BB81" i="1" s="1"/>
  <c r="AG80" i="1" l="1"/>
  <c r="BE76" i="1" a="1"/>
  <c r="BE76" i="1" s="1"/>
  <c r="CC75" i="1" a="1"/>
  <c r="CC75" i="1" s="1"/>
  <c r="CD75" i="1" s="1"/>
  <c r="BO75" i="1"/>
  <c r="BX75" i="1" s="1"/>
  <c r="BY75" i="1" s="1"/>
  <c r="BQ75" i="1"/>
  <c r="CA80" i="1" l="1"/>
  <c r="AE81" i="1" s="1" a="1"/>
  <c r="AE81" i="1" s="1"/>
  <c r="AC81" i="1" a="1"/>
  <c r="AC81" i="1" s="1"/>
  <c r="H76" i="1"/>
  <c r="AK76" i="1" s="1"/>
  <c r="BD76" i="1" a="1"/>
  <c r="BD76" i="1" s="1"/>
  <c r="AG81" i="1" l="1"/>
  <c r="AC82" i="1" a="1"/>
  <c r="AC82" i="1" s="1"/>
  <c r="CA81" i="1"/>
  <c r="AE82" i="1" s="1" a="1"/>
  <c r="AE82" i="1" s="1"/>
  <c r="Z76" i="1"/>
  <c r="AH76" i="1"/>
  <c r="I76" i="1"/>
  <c r="BF76" i="1" s="1" a="1"/>
  <c r="BF76" i="1" s="1"/>
  <c r="AO76" i="1"/>
  <c r="AG82" i="1" l="1"/>
  <c r="BG76" i="1"/>
  <c r="C76" i="9" s="1" a="1"/>
  <c r="C76" i="9" s="1"/>
  <c r="CA82" i="1" l="1"/>
  <c r="AC83" i="1" s="1" a="1"/>
  <c r="AC83" i="1" s="1"/>
  <c r="AE83" i="1" a="1"/>
  <c r="AE83" i="1" s="1"/>
  <c r="BJ76" i="1" a="1"/>
  <c r="BJ76" i="1" s="1"/>
  <c r="AG83" i="1" l="1"/>
  <c r="CA83" i="1"/>
  <c r="AE84" i="1" s="1" a="1"/>
  <c r="AE84" i="1" s="1"/>
  <c r="AC84" i="1" a="1"/>
  <c r="AC84" i="1" s="1"/>
  <c r="C76" i="5" a="1"/>
  <c r="C76" i="5" s="1"/>
  <c r="D76" i="5" s="1"/>
  <c r="E76" i="5" s="1" a="1"/>
  <c r="E76" i="5" s="1"/>
  <c r="BK76" i="1" a="1"/>
  <c r="BK76" i="1" s="1"/>
  <c r="BM76" i="1" s="1"/>
  <c r="BL76" i="1"/>
  <c r="D76" i="9"/>
  <c r="E76" i="9" s="1"/>
  <c r="F76" i="9"/>
  <c r="AG84" i="1" l="1"/>
  <c r="CA84" i="1"/>
  <c r="AE85" i="1" a="1"/>
  <c r="AE85" i="1" s="1"/>
  <c r="AC85" i="1" a="1"/>
  <c r="AC85" i="1" s="1"/>
  <c r="A76" i="9"/>
  <c r="C176" i="5"/>
  <c r="E176" i="5" s="1" a="1"/>
  <c r="E176" i="5" s="1"/>
  <c r="A176" i="5" s="1"/>
  <c r="F76" i="5"/>
  <c r="G76" i="5"/>
  <c r="BW76" i="1" a="1"/>
  <c r="AG85" i="1" l="1"/>
  <c r="CA85" i="1" s="1"/>
  <c r="BW76" i="1"/>
  <c r="A76" i="5"/>
  <c r="BN76" i="1" a="1"/>
  <c r="AE86" i="1" l="1" a="1"/>
  <c r="AE86" i="1" s="1"/>
  <c r="AC86" i="1" a="1"/>
  <c r="AC86" i="1" s="1"/>
  <c r="AG86" i="1" s="1"/>
  <c r="CA86" i="1" s="1"/>
  <c r="AE87" i="1" s="1" a="1"/>
  <c r="AE87" i="1" s="1"/>
  <c r="BN76" i="1"/>
  <c r="BP76" i="1" s="1"/>
  <c r="AC87" i="1" l="1" a="1"/>
  <c r="AC87" i="1" s="1"/>
  <c r="AG87" i="1" s="1"/>
  <c r="CA87" i="1" s="1"/>
  <c r="BH76" i="1" a="1"/>
  <c r="BH76" i="1" s="1"/>
  <c r="D77" i="1" s="1" a="1"/>
  <c r="D77" i="1" s="1"/>
  <c r="BI76" i="1" a="1"/>
  <c r="BI76" i="1" s="1"/>
  <c r="F77" i="1" s="1" a="1"/>
  <c r="F77" i="1" s="1"/>
  <c r="AW82" i="1"/>
  <c r="BB82" i="1" s="1" a="1"/>
  <c r="BB82" i="1" s="1"/>
  <c r="AE88" i="1" l="1" a="1"/>
  <c r="AE88" i="1" s="1"/>
  <c r="AC88" i="1" a="1"/>
  <c r="AC88" i="1" s="1"/>
  <c r="AG88" i="1" s="1"/>
  <c r="CA88" i="1" s="1"/>
  <c r="BE77" i="1" a="1"/>
  <c r="BE77" i="1" s="1"/>
  <c r="CC76" i="1" a="1"/>
  <c r="CC76" i="1" s="1"/>
  <c r="CD76" i="1" s="1"/>
  <c r="BQ76" i="1"/>
  <c r="BO76" i="1"/>
  <c r="BX76" i="1" s="1"/>
  <c r="BY76" i="1" s="1"/>
  <c r="AC89" i="1" l="1" a="1"/>
  <c r="AC89" i="1" s="1"/>
  <c r="AE89" i="1" a="1"/>
  <c r="AE89" i="1" s="1"/>
  <c r="BD77" i="1" a="1"/>
  <c r="BD77" i="1" s="1"/>
  <c r="H77" i="1"/>
  <c r="AK77" i="1" s="1"/>
  <c r="AG89" i="1" l="1"/>
  <c r="Z77" i="1"/>
  <c r="AO77" i="1"/>
  <c r="I77" i="1"/>
  <c r="BF77" i="1" s="1" a="1"/>
  <c r="BF77" i="1" s="1"/>
  <c r="AH77" i="1"/>
  <c r="CA89" i="1" l="1"/>
  <c r="AC90" i="1" s="1" a="1"/>
  <c r="AC90" i="1" s="1"/>
  <c r="AE90" i="1" a="1"/>
  <c r="AE90" i="1" s="1"/>
  <c r="BG77" i="1"/>
  <c r="C77" i="9" s="1" a="1"/>
  <c r="C77" i="9" s="1"/>
  <c r="AG90" i="1" l="1"/>
  <c r="BJ77" i="1" a="1"/>
  <c r="BJ77" i="1" s="1"/>
  <c r="CA90" i="1" l="1"/>
  <c r="AC91" i="1" s="1" a="1"/>
  <c r="AC91" i="1" s="1"/>
  <c r="AE91" i="1" a="1"/>
  <c r="AE91" i="1" s="1"/>
  <c r="D77" i="9"/>
  <c r="E77" i="9" s="1"/>
  <c r="F77" i="9"/>
  <c r="BK77" i="1" a="1"/>
  <c r="BK77" i="1" s="1"/>
  <c r="BM77" i="1" s="1"/>
  <c r="C77" i="5" a="1"/>
  <c r="C77" i="5" s="1"/>
  <c r="D77" i="5" s="1"/>
  <c r="E77" i="5" s="1" a="1"/>
  <c r="E77" i="5" s="1"/>
  <c r="BL77" i="1"/>
  <c r="AG91" i="1" l="1"/>
  <c r="CA91" i="1"/>
  <c r="AE92" i="1" a="1"/>
  <c r="AE92" i="1" s="1"/>
  <c r="AC92" i="1" a="1"/>
  <c r="AC92" i="1" s="1"/>
  <c r="AG92" i="1" s="1"/>
  <c r="CA92" i="1" s="1"/>
  <c r="CA2" i="1" s="1"/>
  <c r="A77" i="9"/>
  <c r="C177" i="5"/>
  <c r="E177" i="5" s="1" a="1"/>
  <c r="E177" i="5" s="1"/>
  <c r="A177" i="5" s="1"/>
  <c r="F77" i="5"/>
  <c r="G77" i="5" s="1"/>
  <c r="BW77" i="1" a="1"/>
  <c r="BW77" i="1" l="1"/>
  <c r="A77" i="5"/>
  <c r="BN77" i="1" a="1"/>
  <c r="BN77" i="1" l="1"/>
  <c r="BP77" i="1" s="1"/>
  <c r="BH77" i="1" l="1" a="1"/>
  <c r="BH77" i="1" s="1"/>
  <c r="D78" i="1" s="1" a="1"/>
  <c r="D78" i="1" s="1"/>
  <c r="BI77" i="1" a="1"/>
  <c r="BI77" i="1" s="1"/>
  <c r="F78" i="1" s="1" a="1"/>
  <c r="F78" i="1" s="1"/>
  <c r="AW83" i="1"/>
  <c r="BB83" i="1" s="1" a="1"/>
  <c r="BB83" i="1" s="1"/>
  <c r="CC77" i="1" l="1" a="1"/>
  <c r="CC77" i="1" s="1"/>
  <c r="CD77" i="1" s="1"/>
  <c r="BQ77" i="1"/>
  <c r="BO77" i="1"/>
  <c r="BX77" i="1" s="1"/>
  <c r="BY77" i="1" s="1"/>
  <c r="BE78" i="1" a="1"/>
  <c r="BE78" i="1" s="1"/>
  <c r="BD78" i="1" l="1" a="1"/>
  <c r="BD78" i="1" s="1"/>
  <c r="H78" i="1"/>
  <c r="AK78" i="1" s="1"/>
  <c r="AO78" i="1" l="1"/>
  <c r="AH78" i="1"/>
  <c r="Z78" i="1"/>
  <c r="I78" i="1"/>
  <c r="BF78" i="1" s="1" a="1"/>
  <c r="BF78" i="1" s="1"/>
  <c r="BG78" i="1" l="1"/>
  <c r="C78" i="9" s="1" a="1"/>
  <c r="C78" i="9" s="1"/>
  <c r="D78" i="9" l="1"/>
  <c r="BJ78" i="1" a="1"/>
  <c r="BJ78" i="1" s="1"/>
  <c r="C78" i="5" l="1" a="1"/>
  <c r="C78" i="5" s="1"/>
  <c r="D78" i="5" s="1"/>
  <c r="E78" i="5" s="1" a="1"/>
  <c r="E78" i="5" s="1"/>
  <c r="BK78" i="1" a="1"/>
  <c r="BK78" i="1" s="1"/>
  <c r="BM78" i="1" s="1"/>
  <c r="BL78" i="1"/>
  <c r="E78" i="9"/>
  <c r="F78" i="9" s="1"/>
  <c r="A78" i="9" s="1"/>
  <c r="C178" i="5" l="1"/>
  <c r="E178" i="5" s="1" a="1"/>
  <c r="E178" i="5" s="1"/>
  <c r="A178" i="5" s="1"/>
  <c r="F78" i="5"/>
  <c r="G78" i="5" s="1"/>
  <c r="BW78" i="1" a="1"/>
  <c r="BW78" i="1" l="1"/>
  <c r="A78" i="5"/>
  <c r="BN78" i="1" a="1"/>
  <c r="BN78" i="1" l="1"/>
  <c r="BP78" i="1" s="1"/>
  <c r="BH78" i="1" l="1" a="1"/>
  <c r="BH78" i="1" s="1"/>
  <c r="D79" i="1" s="1" a="1"/>
  <c r="D79" i="1" s="1"/>
  <c r="BI78" i="1" a="1"/>
  <c r="BI78" i="1" s="1"/>
  <c r="F79" i="1" s="1" a="1"/>
  <c r="F79" i="1" s="1"/>
  <c r="AW84" i="1"/>
  <c r="BB84" i="1" s="1" a="1"/>
  <c r="BB84" i="1" s="1"/>
  <c r="BO78" i="1" l="1"/>
  <c r="BX78" i="1" s="1"/>
  <c r="BY78" i="1" s="1"/>
  <c r="CC78" i="1" a="1"/>
  <c r="CC78" i="1" s="1"/>
  <c r="CD78" i="1" s="1"/>
  <c r="BQ78" i="1"/>
  <c r="BE79" i="1" a="1"/>
  <c r="BE79" i="1" s="1"/>
  <c r="BD79" i="1" l="1" a="1"/>
  <c r="BD79" i="1" s="1"/>
  <c r="H79" i="1"/>
  <c r="AK79" i="1" s="1"/>
  <c r="Z79" i="1" l="1"/>
  <c r="AO79" i="1"/>
  <c r="AH79" i="1"/>
  <c r="I79" i="1"/>
  <c r="BF79" i="1" s="1" a="1"/>
  <c r="BF79" i="1" s="1"/>
  <c r="BG79" i="1" l="1"/>
  <c r="C79" i="9" s="1" a="1"/>
  <c r="C79" i="9" s="1"/>
  <c r="BJ79" i="1" l="1" a="1"/>
  <c r="BJ79" i="1" s="1"/>
  <c r="BK79" i="1" s="1" a="1"/>
  <c r="BK79" i="1" s="1"/>
  <c r="BM79" i="1" s="1"/>
  <c r="D79" i="9"/>
  <c r="F79" i="9"/>
  <c r="BL79" i="1" l="1"/>
  <c r="C79" i="5" a="1"/>
  <c r="C79" i="5" s="1"/>
  <c r="D79" i="5" s="1"/>
  <c r="E79" i="5" s="1" a="1"/>
  <c r="E79" i="5" s="1"/>
  <c r="E79" i="9"/>
  <c r="A79" i="9"/>
  <c r="G79" i="5" l="1"/>
  <c r="A79" i="5" s="1"/>
  <c r="C179" i="5"/>
  <c r="E179" i="5" s="1" a="1"/>
  <c r="E179" i="5" s="1"/>
  <c r="A179" i="5" s="1"/>
  <c r="F79" i="5"/>
  <c r="BN79" i="1" a="1"/>
  <c r="BW79" i="1" a="1"/>
  <c r="BW79" i="1" l="1"/>
  <c r="BN79" i="1"/>
  <c r="BP79" i="1" s="1"/>
  <c r="BH79" i="1" l="1" a="1"/>
  <c r="BH79" i="1" s="1"/>
  <c r="D80" i="1" s="1" a="1"/>
  <c r="D80" i="1" s="1"/>
  <c r="BI79" i="1" a="1"/>
  <c r="BI79" i="1" s="1"/>
  <c r="F80" i="1" s="1" a="1"/>
  <c r="F80" i="1" s="1"/>
  <c r="AW85" i="1"/>
  <c r="BB85" i="1" s="1" a="1"/>
  <c r="BB85" i="1" s="1"/>
  <c r="BE80" i="1" l="1" a="1"/>
  <c r="BE80" i="1" s="1"/>
  <c r="BQ79" i="1"/>
  <c r="CC79" i="1" a="1"/>
  <c r="CC79" i="1" s="1"/>
  <c r="CD79" i="1" s="1"/>
  <c r="BO79" i="1"/>
  <c r="BX79" i="1" s="1"/>
  <c r="BY79" i="1" s="1"/>
  <c r="H80" i="1" l="1"/>
  <c r="AK80" i="1" s="1"/>
  <c r="BD80" i="1" a="1"/>
  <c r="BD80" i="1" s="1"/>
  <c r="AH80" i="1" l="1"/>
  <c r="AO80" i="1"/>
  <c r="I80" i="1"/>
  <c r="BF80" i="1" s="1" a="1"/>
  <c r="BF80" i="1" s="1"/>
  <c r="Z80" i="1"/>
  <c r="BG80" i="1" l="1"/>
  <c r="C80" i="9" s="1" a="1"/>
  <c r="C80" i="9" s="1"/>
  <c r="BJ80" i="1" l="1" a="1"/>
  <c r="BJ80" i="1" s="1"/>
  <c r="BL80" i="1" l="1"/>
  <c r="BK80" i="1" a="1"/>
  <c r="BK80" i="1" s="1"/>
  <c r="BM80" i="1" s="1"/>
  <c r="C80" i="5" a="1"/>
  <c r="C80" i="5" s="1"/>
  <c r="D80" i="5" s="1"/>
  <c r="E80" i="5" s="1" a="1"/>
  <c r="E80" i="5" s="1"/>
  <c r="D80" i="9"/>
  <c r="E80" i="9"/>
  <c r="F80" i="9" s="1"/>
  <c r="C180" i="5" l="1"/>
  <c r="E180" i="5" s="1" a="1"/>
  <c r="E180" i="5" s="1"/>
  <c r="A180" i="5" s="1"/>
  <c r="F80" i="5"/>
  <c r="G80" i="5" s="1"/>
  <c r="A80" i="9"/>
  <c r="BW80" i="1" a="1"/>
  <c r="BW80" i="1" l="1"/>
  <c r="A80" i="5"/>
  <c r="BN80" i="1" a="1"/>
  <c r="BN80" i="1" l="1"/>
  <c r="BP80" i="1" s="1"/>
  <c r="AW86" i="1"/>
  <c r="BB86" i="1" s="1" a="1"/>
  <c r="BB86" i="1" s="1"/>
  <c r="BH80" i="1" l="1" a="1"/>
  <c r="BH80" i="1" s="1"/>
  <c r="D81" i="1" s="1" a="1"/>
  <c r="D81" i="1" s="1"/>
  <c r="BI80" i="1" a="1"/>
  <c r="BI80" i="1" s="1"/>
  <c r="F81" i="1" s="1" a="1"/>
  <c r="F81" i="1" s="1"/>
  <c r="BQ80" i="1" l="1"/>
  <c r="CC80" i="1" a="1"/>
  <c r="CC80" i="1" s="1"/>
  <c r="CD80" i="1" s="1"/>
  <c r="BO80" i="1"/>
  <c r="BX80" i="1" s="1"/>
  <c r="BY80" i="1" s="1"/>
  <c r="BE81" i="1" a="1"/>
  <c r="BE81" i="1" s="1"/>
  <c r="BD81" i="1" l="1" a="1"/>
  <c r="BD81" i="1" s="1"/>
  <c r="H81" i="1"/>
  <c r="AK81" i="1" s="1"/>
  <c r="I81" i="1" l="1"/>
  <c r="BF81" i="1" s="1" a="1"/>
  <c r="BF81" i="1" s="1"/>
  <c r="AH81" i="1"/>
  <c r="Z81" i="1"/>
  <c r="AO81" i="1"/>
  <c r="BG81" i="1" l="1"/>
  <c r="C81" i="9" s="1" a="1"/>
  <c r="C81" i="9" s="1"/>
  <c r="BJ81" i="1" l="1" a="1"/>
  <c r="BJ81" i="1" s="1"/>
  <c r="C81" i="5" l="1" a="1"/>
  <c r="C81" i="5" s="1"/>
  <c r="D81" i="5" s="1"/>
  <c r="E81" i="5" s="1" a="1"/>
  <c r="E81" i="5" s="1"/>
  <c r="BK81" i="1" a="1"/>
  <c r="BK81" i="1" s="1"/>
  <c r="BM81" i="1" s="1"/>
  <c r="BL81" i="1"/>
  <c r="D81" i="9"/>
  <c r="E81" i="9"/>
  <c r="F81" i="9" s="1"/>
  <c r="A81" i="9" l="1"/>
  <c r="C181" i="5"/>
  <c r="E181" i="5" s="1" a="1"/>
  <c r="E181" i="5" s="1"/>
  <c r="A181" i="5" s="1"/>
  <c r="F81" i="5"/>
  <c r="G81" i="5"/>
  <c r="BW81" i="1" a="1"/>
  <c r="BW81" i="1" l="1"/>
  <c r="A81" i="5"/>
  <c r="BN81" i="1" a="1"/>
  <c r="BN81" i="1" l="1"/>
  <c r="BP81" i="1" s="1"/>
  <c r="AW87" i="1"/>
  <c r="BB87" i="1" s="1" a="1"/>
  <c r="BB87" i="1" s="1"/>
  <c r="BH81" i="1" l="1" a="1"/>
  <c r="BH81" i="1" s="1"/>
  <c r="D82" i="1" s="1" a="1"/>
  <c r="D82" i="1" s="1"/>
  <c r="BI81" i="1" a="1"/>
  <c r="BI81" i="1" s="1"/>
  <c r="F82" i="1" s="1" a="1"/>
  <c r="F82" i="1" s="1"/>
  <c r="BQ81" i="1" l="1"/>
  <c r="CC81" i="1" a="1"/>
  <c r="CC81" i="1" s="1"/>
  <c r="CD81" i="1" s="1"/>
  <c r="BO81" i="1"/>
  <c r="BX81" i="1" s="1"/>
  <c r="BY81" i="1" s="1"/>
  <c r="BE82" i="1" a="1"/>
  <c r="BE82" i="1" s="1"/>
  <c r="H82" i="1" l="1"/>
  <c r="AK82" i="1" s="1"/>
  <c r="BD82" i="1" a="1"/>
  <c r="BD82" i="1" s="1"/>
  <c r="AH82" i="1" l="1"/>
  <c r="AO82" i="1"/>
  <c r="Z82" i="1"/>
  <c r="I82" i="1"/>
  <c r="BF82" i="1" s="1" a="1"/>
  <c r="BF82" i="1" s="1"/>
  <c r="BG82" i="1" l="1"/>
  <c r="C82" i="9" s="1" a="1"/>
  <c r="C82" i="9" s="1"/>
  <c r="BJ82" i="1" l="1" a="1"/>
  <c r="BJ82" i="1" s="1"/>
  <c r="D82" i="9" l="1"/>
  <c r="E82" i="9"/>
  <c r="F82" i="9" s="1"/>
  <c r="BK82" i="1" a="1"/>
  <c r="BK82" i="1" s="1"/>
  <c r="BM82" i="1" s="1"/>
  <c r="C82" i="5" a="1"/>
  <c r="C82" i="5" s="1"/>
  <c r="D82" i="5" s="1"/>
  <c r="E82" i="5" s="1" a="1"/>
  <c r="E82" i="5" s="1"/>
  <c r="BL82" i="1"/>
  <c r="A82" i="9" l="1"/>
  <c r="C182" i="5"/>
  <c r="E182" i="5" s="1" a="1"/>
  <c r="E182" i="5" s="1"/>
  <c r="A182" i="5" s="1"/>
  <c r="F82" i="5"/>
  <c r="G82" i="5"/>
  <c r="BW82" i="1" a="1"/>
  <c r="BW82" i="1" l="1"/>
  <c r="A82" i="5"/>
  <c r="BN82" i="1" a="1"/>
  <c r="BN82" i="1" l="1"/>
  <c r="BP82" i="1" s="1"/>
  <c r="AW88" i="1"/>
  <c r="BB88" i="1" s="1" a="1"/>
  <c r="BB88" i="1" s="1"/>
  <c r="BH82" i="1" l="1" a="1"/>
  <c r="BH82" i="1" s="1"/>
  <c r="D83" i="1" s="1" a="1"/>
  <c r="D83" i="1" s="1"/>
  <c r="BI82" i="1" a="1"/>
  <c r="BI82" i="1" s="1"/>
  <c r="F83" i="1" s="1" a="1"/>
  <c r="F83" i="1" s="1"/>
  <c r="CC82" i="1" l="1" a="1"/>
  <c r="CC82" i="1" s="1"/>
  <c r="CD82" i="1" s="1"/>
  <c r="BO82" i="1"/>
  <c r="BX82" i="1" s="1"/>
  <c r="BY82" i="1" s="1"/>
  <c r="BQ82" i="1"/>
  <c r="BE83" i="1" a="1"/>
  <c r="BE83" i="1" s="1"/>
  <c r="H83" i="1" l="1"/>
  <c r="AK83" i="1" s="1"/>
  <c r="BD83" i="1" a="1"/>
  <c r="BD83" i="1" s="1"/>
  <c r="Z83" i="1" l="1"/>
  <c r="AH83" i="1"/>
  <c r="AO83" i="1"/>
  <c r="I83" i="1"/>
  <c r="BF83" i="1" s="1" a="1"/>
  <c r="BF83" i="1" s="1"/>
  <c r="BG83" i="1" l="1"/>
  <c r="C83" i="9" s="1" a="1"/>
  <c r="C83" i="9" s="1"/>
  <c r="BJ83" i="1" l="1" a="1"/>
  <c r="BJ83" i="1" s="1"/>
  <c r="D83" i="9" l="1"/>
  <c r="E83" i="9"/>
  <c r="F83" i="9" s="1"/>
  <c r="BK83" i="1" a="1"/>
  <c r="BK83" i="1" s="1"/>
  <c r="BM83" i="1" s="1"/>
  <c r="C83" i="5" a="1"/>
  <c r="C83" i="5" s="1"/>
  <c r="D83" i="5" s="1"/>
  <c r="E83" i="5" s="1" a="1"/>
  <c r="E83" i="5" s="1"/>
  <c r="BL83" i="1"/>
  <c r="A83" i="9" l="1"/>
  <c r="C183" i="5"/>
  <c r="E183" i="5" s="1" a="1"/>
  <c r="E183" i="5" s="1"/>
  <c r="A183" i="5" s="1"/>
  <c r="F83" i="5"/>
  <c r="G83" i="5" s="1"/>
  <c r="BW83" i="1" a="1"/>
  <c r="BW83" i="1" l="1"/>
  <c r="A83" i="5"/>
  <c r="BN83" i="1" a="1"/>
  <c r="BN83" i="1" l="1"/>
  <c r="BP83" i="1" s="1"/>
  <c r="AW89" i="1"/>
  <c r="BB89" i="1" s="1" a="1"/>
  <c r="BB89" i="1" s="1"/>
  <c r="BH83" i="1" l="1" a="1"/>
  <c r="BH83" i="1" s="1"/>
  <c r="D84" i="1" s="1" a="1"/>
  <c r="D84" i="1" s="1"/>
  <c r="BI83" i="1" a="1"/>
  <c r="BI83" i="1" s="1"/>
  <c r="F84" i="1" s="1" a="1"/>
  <c r="F84" i="1" s="1"/>
  <c r="BO83" i="1" l="1"/>
  <c r="BX83" i="1" s="1"/>
  <c r="BY83" i="1" s="1"/>
  <c r="CC83" i="1" a="1"/>
  <c r="CC83" i="1" s="1"/>
  <c r="CD83" i="1" s="1"/>
  <c r="BQ83" i="1"/>
  <c r="BE84" i="1" a="1"/>
  <c r="BE84" i="1" s="1"/>
  <c r="BD84" i="1" l="1" a="1"/>
  <c r="BD84" i="1" s="1"/>
  <c r="H84" i="1"/>
  <c r="AK84" i="1" s="1"/>
  <c r="I84" i="1" l="1"/>
  <c r="BF84" i="1" s="1" a="1"/>
  <c r="BF84" i="1" s="1"/>
  <c r="AH84" i="1"/>
  <c r="Z84" i="1"/>
  <c r="AO84" i="1"/>
  <c r="BG84" i="1" l="1"/>
  <c r="C84" i="9" s="1" a="1"/>
  <c r="C84" i="9" s="1"/>
  <c r="BJ84" i="1" l="1" a="1"/>
  <c r="BJ84" i="1" s="1"/>
  <c r="BK84" i="1" l="1" a="1"/>
  <c r="BK84" i="1" s="1"/>
  <c r="BM84" i="1" s="1"/>
  <c r="C84" i="5" a="1"/>
  <c r="C84" i="5" s="1"/>
  <c r="D84" i="5" s="1"/>
  <c r="E84" i="5" s="1" a="1"/>
  <c r="E84" i="5" s="1"/>
  <c r="BL84" i="1"/>
  <c r="D84" i="9"/>
  <c r="E84" i="9"/>
  <c r="F84" i="9"/>
  <c r="A84" i="9" l="1"/>
  <c r="C184" i="5"/>
  <c r="E184" i="5" s="1" a="1"/>
  <c r="E184" i="5" s="1"/>
  <c r="A184" i="5" s="1"/>
  <c r="F84" i="5"/>
  <c r="G84" i="5" s="1"/>
  <c r="BW84" i="1" a="1"/>
  <c r="BW84" i="1" l="1"/>
  <c r="A84" i="5"/>
  <c r="BN84" i="1" a="1"/>
  <c r="BN84" i="1" l="1"/>
  <c r="BP84" i="1" s="1"/>
  <c r="AW90" i="1"/>
  <c r="BB90" i="1" s="1" a="1"/>
  <c r="BB90" i="1" s="1"/>
  <c r="BH84" i="1" l="1" a="1"/>
  <c r="BH84" i="1" s="1"/>
  <c r="D85" i="1" s="1" a="1"/>
  <c r="D85" i="1" s="1"/>
  <c r="BI84" i="1" a="1"/>
  <c r="BI84" i="1" s="1"/>
  <c r="F85" i="1" s="1" a="1"/>
  <c r="F85" i="1" s="1"/>
  <c r="BE85" i="1" l="1" a="1"/>
  <c r="BE85" i="1" s="1"/>
  <c r="CC84" i="1" a="1"/>
  <c r="CC84" i="1" s="1"/>
  <c r="CD84" i="1" s="1"/>
  <c r="BQ84" i="1"/>
  <c r="BO84" i="1"/>
  <c r="BX84" i="1" s="1"/>
  <c r="BY84" i="1" s="1"/>
  <c r="BD85" i="1" l="1" a="1"/>
  <c r="BD85" i="1" s="1"/>
  <c r="H85" i="1"/>
  <c r="AK85" i="1" s="1"/>
  <c r="AO85" i="1" l="1"/>
  <c r="Z85" i="1"/>
  <c r="I85" i="1"/>
  <c r="BF85" i="1" s="1" a="1"/>
  <c r="BF85" i="1" s="1"/>
  <c r="AH85" i="1"/>
  <c r="BG85" i="1" l="1"/>
  <c r="C85" i="9" s="1" a="1"/>
  <c r="C85" i="9" s="1"/>
  <c r="BJ85" i="1" l="1" a="1"/>
  <c r="BJ85" i="1" s="1"/>
  <c r="BL85" i="1" l="1"/>
  <c r="BK85" i="1" a="1"/>
  <c r="BK85" i="1" s="1"/>
  <c r="BM85" i="1" s="1"/>
  <c r="C85" i="5" a="1"/>
  <c r="C85" i="5" s="1"/>
  <c r="D85" i="5" s="1"/>
  <c r="E85" i="5" s="1" a="1"/>
  <c r="E85" i="5" s="1"/>
  <c r="D85" i="9"/>
  <c r="E85" i="9"/>
  <c r="F85" i="9" s="1"/>
  <c r="A85" i="9" l="1"/>
  <c r="C185" i="5"/>
  <c r="E185" i="5" s="1" a="1"/>
  <c r="E185" i="5" s="1"/>
  <c r="A185" i="5" s="1"/>
  <c r="F85" i="5"/>
  <c r="G85" i="5"/>
  <c r="BW85" i="1" a="1"/>
  <c r="BW85" i="1" l="1"/>
  <c r="A85" i="5"/>
  <c r="AW91" i="1"/>
  <c r="BB91" i="1" s="1" a="1"/>
  <c r="BB91" i="1" s="1"/>
  <c r="BN85" i="1" a="1"/>
  <c r="BN85" i="1" l="1"/>
  <c r="BP85" i="1" s="1"/>
  <c r="BH85" i="1" l="1" a="1"/>
  <c r="BH85" i="1" s="1"/>
  <c r="D86" i="1" s="1" a="1"/>
  <c r="D86" i="1" s="1"/>
  <c r="BI85" i="1" a="1"/>
  <c r="BI85" i="1" s="1"/>
  <c r="F86" i="1" s="1" a="1"/>
  <c r="F86" i="1" s="1"/>
  <c r="BE86" i="1" l="1" a="1"/>
  <c r="BE86" i="1" s="1"/>
  <c r="BO85" i="1"/>
  <c r="BX85" i="1" s="1"/>
  <c r="BY85" i="1" s="1"/>
  <c r="CC85" i="1" a="1"/>
  <c r="CC85" i="1" s="1"/>
  <c r="CD85" i="1" s="1"/>
  <c r="BQ85" i="1"/>
  <c r="H86" i="1" l="1"/>
  <c r="AK86" i="1" s="1"/>
  <c r="BD86" i="1" a="1"/>
  <c r="BD86" i="1" s="1"/>
  <c r="AH86" i="1" l="1"/>
  <c r="Z86" i="1"/>
  <c r="I86" i="1"/>
  <c r="BF86" i="1" s="1" a="1"/>
  <c r="BF86" i="1" s="1"/>
  <c r="AO86" i="1"/>
  <c r="BG86" i="1" l="1"/>
  <c r="C86" i="9" s="1" a="1"/>
  <c r="C86" i="9" s="1"/>
  <c r="BJ86" i="1" l="1" a="1"/>
  <c r="BJ86" i="1" s="1"/>
  <c r="D86" i="9" l="1"/>
  <c r="E86" i="9"/>
  <c r="F86" i="9" s="1"/>
  <c r="C86" i="5" a="1"/>
  <c r="C86" i="5" s="1"/>
  <c r="D86" i="5" s="1"/>
  <c r="E86" i="5" s="1" a="1"/>
  <c r="E86" i="5" s="1"/>
  <c r="BK86" i="1" a="1"/>
  <c r="BK86" i="1" s="1"/>
  <c r="BM86" i="1" s="1"/>
  <c r="BL86" i="1"/>
  <c r="F86" i="5" l="1"/>
  <c r="C186" i="5"/>
  <c r="E186" i="5" s="1" a="1"/>
  <c r="E186" i="5" s="1"/>
  <c r="A186" i="5" s="1"/>
  <c r="G86" i="5"/>
  <c r="A86" i="9"/>
  <c r="AW92" i="1"/>
  <c r="BB92" i="1" s="1" a="1"/>
  <c r="BB92" i="1" s="1"/>
  <c r="BW86" i="1" a="1"/>
  <c r="BW86" i="1" l="1"/>
  <c r="A86" i="5"/>
  <c r="BN86" i="1" a="1"/>
  <c r="BN86" i="1" l="1"/>
  <c r="BP86" i="1" s="1"/>
  <c r="BH86" i="1" l="1" a="1"/>
  <c r="BH86" i="1" s="1"/>
  <c r="D87" i="1" s="1" a="1"/>
  <c r="D87" i="1" s="1"/>
  <c r="BI86" i="1" a="1"/>
  <c r="BI86" i="1" s="1"/>
  <c r="F87" i="1" s="1" a="1"/>
  <c r="F87" i="1" s="1"/>
  <c r="BE87" i="1" l="1" a="1"/>
  <c r="BE87" i="1" s="1"/>
  <c r="BO86" i="1"/>
  <c r="BX86" i="1" s="1"/>
  <c r="BY86" i="1" s="1"/>
  <c r="BQ86" i="1"/>
  <c r="CC86" i="1" a="1"/>
  <c r="CC86" i="1" s="1"/>
  <c r="CD86" i="1" s="1"/>
  <c r="BD87" i="1" l="1" a="1"/>
  <c r="BD87" i="1" s="1"/>
  <c r="H87" i="1"/>
  <c r="AK87" i="1" s="1"/>
  <c r="AO87" i="1" l="1"/>
  <c r="I87" i="1"/>
  <c r="BF87" i="1" s="1" a="1"/>
  <c r="BF87" i="1" s="1"/>
  <c r="Z87" i="1"/>
  <c r="AH87" i="1"/>
  <c r="BG87" i="1" l="1"/>
  <c r="C87" i="9" s="1" a="1"/>
  <c r="C87" i="9" s="1"/>
  <c r="D87" i="9" s="1"/>
  <c r="BJ87" i="1" l="1" a="1"/>
  <c r="BJ87" i="1" s="1"/>
  <c r="BK87" i="1" s="1" a="1"/>
  <c r="BK87" i="1" s="1"/>
  <c r="BM87" i="1" s="1"/>
  <c r="E87" i="9"/>
  <c r="F87" i="9" s="1"/>
  <c r="A87" i="9" s="1"/>
  <c r="BL87" i="1" l="1"/>
  <c r="C87" i="5" a="1"/>
  <c r="C87" i="5" s="1"/>
  <c r="D87" i="5" s="1"/>
  <c r="E87" i="5" s="1" a="1"/>
  <c r="E87" i="5" s="1"/>
  <c r="F87" i="5" l="1"/>
  <c r="G87" i="5" s="1"/>
  <c r="A87" i="5" s="1"/>
  <c r="C187" i="5"/>
  <c r="E187" i="5" s="1" a="1"/>
  <c r="E187" i="5" s="1"/>
  <c r="A187" i="5" s="1"/>
  <c r="BW87" i="1" a="1"/>
  <c r="BN87" i="1" a="1"/>
  <c r="BW87" i="1" l="1"/>
  <c r="BN87" i="1"/>
  <c r="BP87" i="1" s="1"/>
  <c r="BH87" i="1" l="1" a="1"/>
  <c r="BH87" i="1" s="1"/>
  <c r="D88" i="1" s="1" a="1"/>
  <c r="D88" i="1" s="1"/>
  <c r="BI87" i="1" a="1"/>
  <c r="BI87" i="1" s="1"/>
  <c r="F88" i="1" s="1" a="1"/>
  <c r="F88" i="1" s="1"/>
  <c r="BE88" i="1" l="1" a="1"/>
  <c r="BE88" i="1" s="1"/>
  <c r="CC87" i="1" a="1"/>
  <c r="CC87" i="1" s="1"/>
  <c r="CD87" i="1" s="1"/>
  <c r="BQ87" i="1"/>
  <c r="BO87" i="1"/>
  <c r="BX87" i="1" s="1"/>
  <c r="BD88" i="1" l="1" a="1"/>
  <c r="BD88" i="1" s="1"/>
  <c r="H88" i="1"/>
  <c r="AK88" i="1" s="1"/>
  <c r="BY87" i="1"/>
  <c r="Z88" i="1" l="1"/>
  <c r="I88" i="1"/>
  <c r="BF88" i="1" s="1" a="1"/>
  <c r="BF88" i="1" s="1"/>
  <c r="AH88" i="1"/>
  <c r="AO88" i="1"/>
  <c r="BG88" i="1" l="1"/>
  <c r="C88" i="9" s="1" a="1"/>
  <c r="C88" i="9" s="1"/>
  <c r="BJ88" i="1" l="1" a="1"/>
  <c r="BJ88" i="1" s="1"/>
  <c r="BK88" i="1" s="1" a="1"/>
  <c r="BK88" i="1" s="1"/>
  <c r="BM88" i="1" s="1"/>
  <c r="D88" i="9"/>
  <c r="E88" i="9"/>
  <c r="F88" i="9" s="1"/>
  <c r="C88" i="5" l="1" a="1"/>
  <c r="C88" i="5" s="1"/>
  <c r="D88" i="5" s="1"/>
  <c r="E88" i="5" s="1" a="1"/>
  <c r="E88" i="5" s="1"/>
  <c r="BL88" i="1"/>
  <c r="A88" i="9"/>
  <c r="C188" i="5" l="1"/>
  <c r="E188" i="5" s="1" a="1"/>
  <c r="E188" i="5" s="1"/>
  <c r="A188" i="5" s="1"/>
  <c r="F88" i="5"/>
  <c r="G88" i="5" s="1"/>
  <c r="A88" i="5" s="1"/>
  <c r="BN88" i="1" a="1"/>
  <c r="BW88" i="1" a="1"/>
  <c r="BW88" i="1" l="1"/>
  <c r="BN88" i="1"/>
  <c r="BP88" i="1" s="1"/>
  <c r="BH88" i="1" l="1" a="1"/>
  <c r="BH88" i="1" s="1"/>
  <c r="D89" i="1" s="1" a="1"/>
  <c r="D89" i="1" s="1"/>
  <c r="BI88" i="1" a="1"/>
  <c r="BI88" i="1" s="1"/>
  <c r="F89" i="1" s="1" a="1"/>
  <c r="F89" i="1" s="1"/>
  <c r="BO88" i="1" l="1"/>
  <c r="BX88" i="1" s="1"/>
  <c r="CC88" i="1" a="1"/>
  <c r="CC88" i="1" s="1"/>
  <c r="CD88" i="1" s="1"/>
  <c r="BQ88" i="1"/>
  <c r="BE89" i="1" a="1"/>
  <c r="BE89" i="1" s="1"/>
  <c r="BD89" i="1" l="1" a="1"/>
  <c r="BD89" i="1" s="1"/>
  <c r="H89" i="1"/>
  <c r="AK89" i="1" s="1"/>
  <c r="BY88" i="1"/>
  <c r="AO89" i="1" l="1"/>
  <c r="I89" i="1"/>
  <c r="BF89" i="1" s="1" a="1"/>
  <c r="BF89" i="1" s="1"/>
  <c r="Z89" i="1"/>
  <c r="AH89" i="1"/>
  <c r="BG89" i="1" l="1"/>
  <c r="C89" i="9" s="1" a="1"/>
  <c r="C89" i="9" s="1"/>
  <c r="BJ89" i="1" l="1" a="1"/>
  <c r="BJ89" i="1" s="1"/>
  <c r="BK89" i="1" s="1" a="1"/>
  <c r="BK89" i="1" s="1"/>
  <c r="BM89" i="1" s="1"/>
  <c r="D89" i="9"/>
  <c r="E89" i="9"/>
  <c r="F89" i="9" s="1"/>
  <c r="BL89" i="1" l="1"/>
  <c r="C89" i="5" a="1"/>
  <c r="C89" i="5" s="1"/>
  <c r="D89" i="5" s="1"/>
  <c r="E89" i="5" s="1" a="1"/>
  <c r="E89" i="5" s="1"/>
  <c r="A89" i="9"/>
  <c r="G89" i="5" l="1"/>
  <c r="A89" i="5" s="1"/>
  <c r="F89" i="5"/>
  <c r="C189" i="5"/>
  <c r="E189" i="5" s="1" a="1"/>
  <c r="E189" i="5" s="1"/>
  <c r="A189" i="5" s="1"/>
  <c r="BW89" i="1" a="1"/>
  <c r="BN89" i="1" a="1"/>
  <c r="BW89" i="1" l="1"/>
  <c r="BN89" i="1"/>
  <c r="BP89" i="1" s="1"/>
  <c r="BH89" i="1" l="1" a="1"/>
  <c r="BH89" i="1" s="1"/>
  <c r="D90" i="1" s="1" a="1"/>
  <c r="D90" i="1" s="1"/>
  <c r="BI89" i="1" a="1"/>
  <c r="BI89" i="1" s="1"/>
  <c r="F90" i="1" s="1" a="1"/>
  <c r="F90" i="1" s="1"/>
  <c r="BE90" i="1" l="1" a="1"/>
  <c r="BE90" i="1" s="1"/>
  <c r="BQ89" i="1"/>
  <c r="CC89" i="1" a="1"/>
  <c r="CC89" i="1" s="1"/>
  <c r="CD89" i="1" s="1"/>
  <c r="BO89" i="1"/>
  <c r="BX89" i="1" s="1"/>
  <c r="BY89" i="1" l="1"/>
  <c r="BD90" i="1" a="1"/>
  <c r="BD90" i="1" s="1"/>
  <c r="H90" i="1"/>
  <c r="AK90" i="1" s="1"/>
  <c r="AH90" i="1" l="1"/>
  <c r="AO90" i="1"/>
  <c r="I90" i="1"/>
  <c r="BF90" i="1" s="1" a="1"/>
  <c r="BF90" i="1" s="1"/>
  <c r="Z90" i="1"/>
  <c r="BG90" i="1" l="1"/>
  <c r="C90" i="9" s="1" a="1"/>
  <c r="C90" i="9" s="1"/>
  <c r="BJ90" i="1" l="1" a="1"/>
  <c r="BJ90" i="1" s="1"/>
  <c r="BL90" i="1" l="1"/>
  <c r="BK90" i="1" a="1"/>
  <c r="BK90" i="1" s="1"/>
  <c r="BM90" i="1" s="1"/>
  <c r="C90" i="5" a="1"/>
  <c r="C90" i="5" s="1"/>
  <c r="D90" i="5" s="1"/>
  <c r="E90" i="5" s="1" a="1"/>
  <c r="E90" i="5" s="1"/>
  <c r="D90" i="9"/>
  <c r="F90" i="9"/>
  <c r="E90" i="9"/>
  <c r="C190" i="5" l="1"/>
  <c r="E190" i="5" s="1" a="1"/>
  <c r="E190" i="5" s="1"/>
  <c r="A190" i="5" s="1"/>
  <c r="F90" i="5"/>
  <c r="G90" i="5" s="1"/>
  <c r="A90" i="9"/>
  <c r="BW90" i="1" a="1"/>
  <c r="BW90" i="1" l="1"/>
  <c r="A90" i="5"/>
  <c r="BN90" i="1" a="1"/>
  <c r="BN90" i="1" l="1"/>
  <c r="BP90" i="1" s="1"/>
  <c r="BH90" i="1" l="1" a="1"/>
  <c r="BH90" i="1" s="1"/>
  <c r="D91" i="1" s="1" a="1"/>
  <c r="D91" i="1" s="1"/>
  <c r="BI90" i="1" a="1"/>
  <c r="BI90" i="1" s="1"/>
  <c r="F91" i="1" s="1" a="1"/>
  <c r="F91" i="1" s="1"/>
  <c r="BO90" i="1" l="1"/>
  <c r="BX90" i="1" s="1"/>
  <c r="BQ90" i="1"/>
  <c r="CC90" i="1" a="1"/>
  <c r="CC90" i="1" s="1"/>
  <c r="CD90" i="1" s="1"/>
  <c r="BE91" i="1" a="1"/>
  <c r="BE91" i="1" s="1"/>
  <c r="BD91" i="1" l="1" a="1"/>
  <c r="BD91" i="1" s="1"/>
  <c r="H91" i="1"/>
  <c r="AK91" i="1" s="1"/>
  <c r="BY90" i="1"/>
  <c r="AO91" i="1" l="1"/>
  <c r="I91" i="1"/>
  <c r="BF91" i="1" s="1" a="1"/>
  <c r="BF91" i="1" s="1"/>
  <c r="AH91" i="1"/>
  <c r="Z91" i="1"/>
  <c r="BG91" i="1" l="1"/>
  <c r="C91" i="9" s="1" a="1"/>
  <c r="C91" i="9" s="1"/>
  <c r="D91" i="9" l="1"/>
  <c r="BJ91" i="1" a="1"/>
  <c r="BJ91" i="1" s="1"/>
  <c r="C91" i="5" l="1" a="1"/>
  <c r="C91" i="5" s="1"/>
  <c r="D91" i="5" s="1"/>
  <c r="E91" i="5" s="1" a="1"/>
  <c r="E91" i="5" s="1"/>
  <c r="BK91" i="1" a="1"/>
  <c r="BK91" i="1" s="1"/>
  <c r="BM91" i="1" s="1"/>
  <c r="BL91" i="1"/>
  <c r="E91" i="9"/>
  <c r="F91" i="9" s="1"/>
  <c r="A91" i="9" s="1"/>
  <c r="C191" i="5" l="1"/>
  <c r="E191" i="5" s="1" a="1"/>
  <c r="E191" i="5" s="1"/>
  <c r="A191" i="5" s="1"/>
  <c r="F91" i="5"/>
  <c r="G91" i="5"/>
  <c r="BW91" i="1" a="1"/>
  <c r="BW91" i="1" l="1"/>
  <c r="A91" i="5"/>
  <c r="BN91" i="1" a="1"/>
  <c r="BN91" i="1" l="1"/>
  <c r="BP91" i="1" s="1"/>
  <c r="BH91" i="1" l="1" a="1"/>
  <c r="BH91" i="1" s="1"/>
  <c r="D92" i="1" s="1" a="1"/>
  <c r="D92" i="1" s="1"/>
  <c r="BI91" i="1" a="1"/>
  <c r="BI91" i="1" s="1"/>
  <c r="F92" i="1" s="1" a="1"/>
  <c r="F92" i="1" s="1"/>
  <c r="CC91" i="1" l="1" a="1"/>
  <c r="CC91" i="1" s="1"/>
  <c r="CD91" i="1" s="1"/>
  <c r="BO91" i="1"/>
  <c r="BX91" i="1" s="1"/>
  <c r="BQ91" i="1"/>
  <c r="BE92" i="1" a="1"/>
  <c r="BE92" i="1" s="1"/>
  <c r="BE2" i="1" s="1"/>
  <c r="BD92" i="1" l="1" a="1"/>
  <c r="BD92" i="1" s="1"/>
  <c r="H92" i="1"/>
  <c r="AK92" i="1" s="1"/>
  <c r="BY91" i="1"/>
  <c r="BD2" i="1" l="1"/>
  <c r="Z92" i="1"/>
  <c r="AH92" i="1"/>
  <c r="I92" i="1"/>
  <c r="BF92" i="1" s="1" a="1"/>
  <c r="BF92" i="1" s="1"/>
  <c r="AO92" i="1"/>
  <c r="BG92" i="1" l="1"/>
  <c r="C92" i="9" s="1" a="1"/>
  <c r="C92" i="9" s="1"/>
  <c r="BF2" i="1"/>
  <c r="BJ92" i="1" l="1" a="1"/>
  <c r="BJ92" i="1" s="1"/>
  <c r="D92" i="9" l="1"/>
  <c r="E92" i="9"/>
  <c r="F92" i="9"/>
  <c r="C92" i="5" a="1"/>
  <c r="C92" i="5" s="1"/>
  <c r="D92" i="5" s="1"/>
  <c r="E92" i="5" s="1" a="1"/>
  <c r="E92" i="5" s="1"/>
  <c r="BK92" i="1" a="1"/>
  <c r="BK92" i="1" s="1"/>
  <c r="BM92" i="1" s="1"/>
  <c r="BL92" i="1"/>
  <c r="A92" i="9" l="1"/>
  <c r="C192" i="5"/>
  <c r="E192" i="5" s="1" a="1"/>
  <c r="E192" i="5" s="1"/>
  <c r="A192" i="5" s="1"/>
  <c r="F92" i="5"/>
  <c r="G92" i="5" s="1"/>
  <c r="BW92" i="1" a="1"/>
  <c r="BW92" i="1" l="1"/>
  <c r="A92" i="5"/>
  <c r="BN92" i="1" a="1"/>
  <c r="BN92" i="1" l="1"/>
  <c r="BP92" i="1" s="1"/>
  <c r="BH92" i="1" l="1" a="1"/>
  <c r="BH92" i="1" s="1"/>
  <c r="BI92" i="1" a="1"/>
  <c r="BI92" i="1" s="1"/>
  <c r="BI2" i="1" s="1"/>
  <c r="BP2" i="1"/>
  <c r="CC92" i="1" l="1" a="1"/>
  <c r="CC92" i="1" s="1"/>
  <c r="CD92" i="1" s="1"/>
  <c r="K1" i="1" s="1" a="1"/>
  <c r="K1" i="1" s="1"/>
  <c r="K2" i="1" s="1"/>
  <c r="BO92" i="1"/>
  <c r="BX92" i="1" s="1"/>
  <c r="BQ92" i="1"/>
  <c r="BH2" i="1"/>
  <c r="BY92" i="1" l="1"/>
  <c r="BY2" i="1" s="1"/>
  <c r="BX2" i="1"/>
  <c r="CC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 Straw</author>
  </authors>
  <commentList>
    <comment ref="D1" authorId="0" shapeId="0" xr:uid="{406751AC-2483-44A9-9744-0675244B2DC7}">
      <text>
        <r>
          <rPr>
            <b/>
            <sz val="9"/>
            <color indexed="81"/>
            <rFont val="Tahoma"/>
            <family val="2"/>
          </rPr>
          <t>One Retired</t>
        </r>
        <r>
          <rPr>
            <sz val="9"/>
            <color indexed="81"/>
            <rFont val="Tahoma"/>
            <family val="2"/>
          </rPr>
          <t xml:space="preserve">
   Enter the target net retirement income for when the first person retires. This target net income will be inflation adjusted. Thus, the amount should be in dollars of the setup year. This setup year is shown to the right.</t>
        </r>
      </text>
    </comment>
    <comment ref="C2" authorId="0" shapeId="0" xr:uid="{2293594A-D33A-4B71-8444-8D459ACFF7B6}">
      <text>
        <r>
          <rPr>
            <b/>
            <sz val="9"/>
            <color indexed="81"/>
            <rFont val="Tahoma"/>
            <family val="2"/>
          </rPr>
          <t xml:space="preserve">Stop Investments
   </t>
        </r>
        <r>
          <rPr>
            <sz val="9"/>
            <color indexed="81"/>
            <rFont val="Tahoma"/>
            <family val="2"/>
          </rPr>
          <t>Enter the age in which you intend to stop making retirement focused investments (i.e. the annual contribution amounts listed in D4, F4, T4:W4, AC4, and AE4).
   The stop investment age must be less than or equal to the retirement age entered in row 4.
   Leave column B blank if there is no spouse.</t>
        </r>
      </text>
    </comment>
    <comment ref="D2" authorId="0" shapeId="0" xr:uid="{D7F02088-CB6A-4C4A-99AF-C7D725DD0D77}">
      <text>
        <r>
          <rPr>
            <b/>
            <sz val="9"/>
            <color indexed="81"/>
            <rFont val="Tahoma"/>
            <family val="2"/>
          </rPr>
          <t>Both Retired</t>
        </r>
        <r>
          <rPr>
            <sz val="9"/>
            <color indexed="81"/>
            <rFont val="Tahoma"/>
            <family val="2"/>
          </rPr>
          <t xml:space="preserve">
   Enter the target net retirement income for when both are retired. This target net income will be inflation adjusted. Thus, the amount should be in dollars of the setup year. This setup year is shown to the right.
   Leave blank if there is no spouse.</t>
        </r>
      </text>
    </comment>
    <comment ref="C4" authorId="0" shapeId="0" xr:uid="{358582F1-1DC4-4DB3-9A51-6982D11293BE}">
      <text>
        <r>
          <rPr>
            <b/>
            <sz val="9"/>
            <color indexed="81"/>
            <rFont val="Tahoma"/>
            <family val="2"/>
          </rPr>
          <t xml:space="preserve">Retirement Age
   </t>
        </r>
        <r>
          <rPr>
            <sz val="9"/>
            <color indexed="81"/>
            <rFont val="Tahoma"/>
            <family val="2"/>
          </rPr>
          <t xml:space="preserve">Enter the age at which you intend to start withdrawing the income listed in E1 (first person retired) or E2 (both retired) from your retirement investments. 
   The retirement age also triggers the post-retirement interest rate in H2.
   Leave column B blank if there is no spouse.
</t>
        </r>
      </text>
    </comment>
    <comment ref="C5" authorId="0" shapeId="0" xr:uid="{CD377391-F830-469A-AB70-8C7397007C5A}">
      <text>
        <r>
          <rPr>
            <b/>
            <sz val="9"/>
            <color indexed="81"/>
            <rFont val="Tahoma"/>
            <family val="2"/>
          </rPr>
          <t xml:space="preserve">Start Social Security
   </t>
        </r>
        <r>
          <rPr>
            <sz val="9"/>
            <color indexed="81"/>
            <rFont val="Tahoma"/>
            <family val="2"/>
          </rPr>
          <t>Enter the age in which you plan on starting to receive Social Security benefits. The age must be in the range of 62 to 67.
    Leave column B blank if there is no spouse.</t>
        </r>
      </text>
    </comment>
    <comment ref="C6" authorId="0" shapeId="0" xr:uid="{B4C81928-C297-4EEA-8C1B-D017422C1C13}">
      <text>
        <r>
          <rPr>
            <b/>
            <sz val="9"/>
            <color indexed="81"/>
            <rFont val="Tahoma"/>
            <family val="2"/>
          </rPr>
          <t xml:space="preserve">Death
</t>
        </r>
        <r>
          <rPr>
            <sz val="9"/>
            <color indexed="81"/>
            <rFont val="Tahoma"/>
            <family val="2"/>
          </rPr>
          <t xml:space="preserve">   Enter a projected age at death. You can use the Social Securities' Actuarial Life Table to calculate your estimated age at death. See https://www.ssa.gov/oact/STATS/table4c6.html
   Leave column B blank if there is no spouse.
</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<sst xmlns="http://schemas.openxmlformats.org/spreadsheetml/2006/main" count="473" uniqueCount="290">
  <si>
    <t>Target</t>
  </si>
  <si>
    <t>Income</t>
  </si>
  <si>
    <t>TOTAL</t>
  </si>
  <si>
    <t>%</t>
  </si>
  <si>
    <t>% of</t>
  </si>
  <si>
    <t>Amount</t>
  </si>
  <si>
    <t>Portfolio</t>
  </si>
  <si>
    <t>Life Ins.</t>
  </si>
  <si>
    <t>Taxable</t>
  </si>
  <si>
    <t>Difference</t>
  </si>
  <si>
    <t>Total</t>
  </si>
  <si>
    <t>Needed</t>
  </si>
  <si>
    <t>Taxes</t>
  </si>
  <si>
    <t>Estimated</t>
  </si>
  <si>
    <t>https://www.fidelity.com/viewpoints/retirement/tax-savvy-withdrawals</t>
  </si>
  <si>
    <t>Use a balanced withdrawel from all accounts based on the percentage each account is in the total portfolio</t>
  </si>
  <si>
    <t>Year</t>
  </si>
  <si>
    <t>First planning year:</t>
  </si>
  <si>
    <t xml:space="preserve">Change values in the </t>
  </si>
  <si>
    <t>Inflation:</t>
  </si>
  <si>
    <t>Withdrawel strategy based on:</t>
  </si>
  <si>
    <t>The threshold changes periodically. Update these numbers as they change.</t>
  </si>
  <si>
    <t>Ensure long-term capital gains taxes are $0 by selling shares subject to long-term captical gains taxes when taxable income is below the threshold.</t>
  </si>
  <si>
    <t>Instructions:</t>
  </si>
  <si>
    <t>Use the annual average column (third from right)</t>
  </si>
  <si>
    <t>Years</t>
  </si>
  <si>
    <t>Fill in cells for year and annual average</t>
  </si>
  <si>
    <t>Annual Avg</t>
  </si>
  <si>
    <t>RMD</t>
  </si>
  <si>
    <t>https://www.irs.gov/retirement-plans/retirement-plans-faqs-regarding-required-minimum-distributions</t>
  </si>
  <si>
    <t>RMD Factor</t>
  </si>
  <si>
    <t>Age</t>
  </si>
  <si>
    <t>Start Age</t>
  </si>
  <si>
    <t>Voluntary</t>
  </si>
  <si>
    <t>CPI-U =</t>
  </si>
  <si>
    <t xml:space="preserve"> a broad based CPI</t>
  </si>
  <si>
    <t>CPI-W =</t>
  </si>
  <si>
    <t>Use the values in the Dec column</t>
  </si>
  <si>
    <t xml:space="preserve"> a narrow CPI focused on workers and used by Social Security for cost of living adjustments</t>
  </si>
  <si>
    <t>You may lump all of your general investments into one category or divide them up into as many as four categories.</t>
  </si>
  <si>
    <t xml:space="preserve">Only include investments that you intend to use to fund your retirement. </t>
  </si>
  <si>
    <t>Long-term capital gains taxes apply to these investments.</t>
  </si>
  <si>
    <t>Social Security estimated income adjustments</t>
  </si>
  <si>
    <t>https://www.ssa.gov/oact/quickcalc/early_late.html</t>
  </si>
  <si>
    <t>Early penalty:</t>
  </si>
  <si>
    <t>Full retirement age:</t>
  </si>
  <si>
    <t xml:space="preserve">per month up to 36 months before full retirement age </t>
  </si>
  <si>
    <t>Maximum early retirement:</t>
  </si>
  <si>
    <t>months before full retirement age</t>
  </si>
  <si>
    <t>Late bonus:</t>
  </si>
  <si>
    <t>per year</t>
  </si>
  <si>
    <t>Estimate</t>
  </si>
  <si>
    <t xml:space="preserve">per month for each month more than 36 months before full retirement age </t>
  </si>
  <si>
    <t>Survivor benefits:</t>
  </si>
  <si>
    <t>https://www.ssa.gov/benefits/survivors/ifyou.html</t>
  </si>
  <si>
    <t>Penalties and bonuses:</t>
  </si>
  <si>
    <t xml:space="preserve">Tax Liability </t>
  </si>
  <si>
    <t>Social Security liability</t>
  </si>
  <si>
    <t>https://www.ssa.gov/benefits/retirement/planner/taxes.html</t>
  </si>
  <si>
    <t>Combined Income = Adjusted Gross Income + Nontaxable Interest + 1/2 SS benefits</t>
  </si>
  <si>
    <t>% SS taxed</t>
  </si>
  <si>
    <t>Federal</t>
  </si>
  <si>
    <t>Single</t>
  </si>
  <si>
    <t>This planner is based on  a simplified calculation using the rates shown as flat rates for all taxable income</t>
  </si>
  <si>
    <t>Married filing jointly</t>
  </si>
  <si>
    <t>Married filing separately</t>
  </si>
  <si>
    <t>Head of household</t>
  </si>
  <si>
    <t>Married</t>
  </si>
  <si>
    <t>Household</t>
  </si>
  <si>
    <t>Standard</t>
  </si>
  <si>
    <t>One spouse is 65</t>
  </si>
  <si>
    <t>Both spouses are 65</t>
  </si>
  <si>
    <t>https://www.efile.com/tax-deduction/federal-standard-deduction/</t>
  </si>
  <si>
    <t>https://www.irs.gov/newsroom/irs-provides-tax-inflation-adjustments-for-tax-year-2021</t>
  </si>
  <si>
    <t>&lt;65</t>
  </si>
  <si>
    <t>1&gt;65</t>
  </si>
  <si>
    <t>2&gt;65</t>
  </si>
  <si>
    <t>Standard Deductions</t>
  </si>
  <si>
    <t>Updated for year ----&gt;</t>
  </si>
  <si>
    <t>Filing Status Options (dropdown on Setup worksheet)</t>
  </si>
  <si>
    <t>Social Security surplus = $0</t>
  </si>
  <si>
    <t>The projected year that the governments Social Security surplus is depleted.</t>
  </si>
  <si>
    <t>Social Security surplus status:</t>
  </si>
  <si>
    <t>https://www.ssa.gov/policy/trust-funds-summary.html</t>
  </si>
  <si>
    <t>Maximum benefit</t>
  </si>
  <si>
    <t>when the surplus is gone.</t>
  </si>
  <si>
    <t>Combined</t>
  </si>
  <si>
    <t>Surplus=$0</t>
  </si>
  <si>
    <t>Standard deduction</t>
  </si>
  <si>
    <t>Taxable income threshold</t>
  </si>
  <si>
    <t>Total Income</t>
  </si>
  <si>
    <t>threshold</t>
  </si>
  <si>
    <t>Long-term capital gains taxes</t>
  </si>
  <si>
    <t>https://www.bankrate.com/investing/long-term-capital-gains-tax/</t>
  </si>
  <si>
    <t>Separate</t>
  </si>
  <si>
    <t>&lt;---assumes over 65</t>
  </si>
  <si>
    <t>Taxable Income</t>
  </si>
  <si>
    <t>Social Security</t>
  </si>
  <si>
    <t>https://www.forbes.com/advisor/taxes/taxes-federal-income-tax-bracket/</t>
  </si>
  <si>
    <t>Federal Tax Rates</t>
  </si>
  <si>
    <t>Federal Taxes</t>
  </si>
  <si>
    <t xml:space="preserve">Single </t>
  </si>
  <si>
    <t>Federal Tax bracket ranges (Read as X% for income up to amount shown)</t>
  </si>
  <si>
    <t>Min</t>
  </si>
  <si>
    <t>Max</t>
  </si>
  <si>
    <t>Base Tax</t>
  </si>
  <si>
    <t>Excess Rate</t>
  </si>
  <si>
    <t>Fed Taxes</t>
  </si>
  <si>
    <t>State Taxes</t>
  </si>
  <si>
    <t xml:space="preserve">Fed AGI </t>
  </si>
  <si>
    <t>&lt;--Single &amp; Married filing separately</t>
  </si>
  <si>
    <t>&lt;--Married filing jointhly &amp; Head of household</t>
  </si>
  <si>
    <t>Fed Subtraction</t>
  </si>
  <si>
    <t>Sub-total</t>
  </si>
  <si>
    <t>Rate</t>
  </si>
  <si>
    <t>Tax on Tax</t>
  </si>
  <si>
    <t>Exemption per person</t>
  </si>
  <si>
    <t>Cannot Cover</t>
  </si>
  <si>
    <r>
      <rPr>
        <i/>
        <sz val="11"/>
        <color theme="1"/>
        <rFont val="Calibri"/>
        <family val="2"/>
        <scheme val="minor"/>
      </rPr>
      <t>Dr. Straw's Retirement Game</t>
    </r>
    <r>
      <rPr>
        <sz val="11"/>
        <color theme="1"/>
        <rFont val="Calibri"/>
        <family val="2"/>
        <scheme val="minor"/>
      </rPr>
      <t xml:space="preserve"> Excel workbook is designed for your enjoyment as you play the </t>
    </r>
    <r>
      <rPr>
        <i/>
        <sz val="11"/>
        <color theme="1"/>
        <rFont val="Calibri"/>
        <family val="2"/>
        <scheme val="minor"/>
      </rPr>
      <t>what-if</t>
    </r>
    <r>
      <rPr>
        <sz val="11"/>
        <color theme="1"/>
        <rFont val="Calibri"/>
        <family val="2"/>
        <scheme val="minor"/>
      </rPr>
      <t xml:space="preserve"> retirement game in real life.</t>
    </r>
  </si>
  <si>
    <r>
      <t xml:space="preserve">Start with the </t>
    </r>
    <r>
      <rPr>
        <i/>
        <sz val="11"/>
        <color theme="1"/>
        <rFont val="Calibri"/>
        <family val="2"/>
        <scheme val="minor"/>
      </rPr>
      <t>Setup</t>
    </r>
    <r>
      <rPr>
        <sz val="11"/>
        <color theme="1"/>
        <rFont val="Calibri"/>
        <family val="2"/>
        <scheme val="minor"/>
      </rPr>
      <t xml:space="preserve"> worksheet.</t>
    </r>
  </si>
  <si>
    <r>
      <t xml:space="preserve">            </t>
    </r>
    <r>
      <rPr>
        <sz val="11"/>
        <color theme="1"/>
        <rFont val="Calibri"/>
        <family val="2"/>
        <scheme val="minor"/>
      </rPr>
      <t>Adjust values as needed to maintain accuracy.</t>
    </r>
  </si>
  <si>
    <t>colored cells.</t>
  </si>
  <si>
    <t>Version Date</t>
  </si>
  <si>
    <t>Author</t>
  </si>
  <si>
    <t>Eric Straw</t>
  </si>
  <si>
    <r>
      <t xml:space="preserve">Navigate this workbook by selecting the tabs (i.e. </t>
    </r>
    <r>
      <rPr>
        <i/>
        <sz val="11"/>
        <color theme="1"/>
        <rFont val="Calibri"/>
        <family val="2"/>
        <scheme val="minor"/>
      </rPr>
      <t>Notes</t>
    </r>
    <r>
      <rPr>
        <sz val="11"/>
        <color theme="1"/>
        <rFont val="Calibri"/>
        <family val="2"/>
        <scheme val="minor"/>
      </rPr>
      <t xml:space="preserve">, </t>
    </r>
    <r>
      <rPr>
        <i/>
        <sz val="11"/>
        <color theme="1"/>
        <rFont val="Calibri"/>
        <family val="2"/>
        <scheme val="minor"/>
      </rPr>
      <t>Setup</t>
    </r>
    <r>
      <rPr>
        <sz val="11"/>
        <color theme="1"/>
        <rFont val="Calibri"/>
        <family val="2"/>
        <scheme val="minor"/>
      </rPr>
      <t xml:space="preserve">, </t>
    </r>
    <r>
      <rPr>
        <i/>
        <sz val="11"/>
        <color theme="1"/>
        <rFont val="Calibri"/>
        <family val="2"/>
        <scheme val="minor"/>
      </rPr>
      <t>Projections</t>
    </r>
    <r>
      <rPr>
        <sz val="11"/>
        <color theme="1"/>
        <rFont val="Calibri"/>
        <family val="2"/>
        <scheme val="minor"/>
      </rPr>
      <t xml:space="preserve">, </t>
    </r>
    <r>
      <rPr>
        <i/>
        <sz val="11"/>
        <color theme="1"/>
        <rFont val="Calibri"/>
        <family val="2"/>
        <scheme val="minor"/>
      </rPr>
      <t>Lookups</t>
    </r>
    <r>
      <rPr>
        <sz val="11"/>
        <color theme="1"/>
        <rFont val="Calibri"/>
        <family val="2"/>
        <scheme val="minor"/>
      </rPr>
      <t>) at the bottom left of your Excel window.</t>
    </r>
  </si>
  <si>
    <t>Withdrawal</t>
  </si>
  <si>
    <t>Long-term capital gains taxes apply to investments of these lump sums.</t>
  </si>
  <si>
    <t xml:space="preserve">Only include lump sum amounts that you intend to invest to fund your retirement. </t>
  </si>
  <si>
    <t>Enter after tax and after expenses lump sum amounts.</t>
  </si>
  <si>
    <t>Do not include real estate income or anticipated future amounts from the sale of assets.</t>
  </si>
  <si>
    <t>You can group income streams by category if you have more than four income streams.</t>
  </si>
  <si>
    <t>You should update your other income estimates every 2 - 5 years depending on how close you are to retirement.</t>
  </si>
  <si>
    <t xml:space="preserve">Enter the year you update your estimated incomes. </t>
  </si>
  <si>
    <t>Lump sum amounts from Setup worksheet</t>
  </si>
  <si>
    <t>Other Income from Setup worksheet</t>
  </si>
  <si>
    <t xml:space="preserve">     You might want to use a different percentage if, for example, you will not raise rent to keep up with inflation or you will raise rent faster than inflation.</t>
  </si>
  <si>
    <t>Diff</t>
  </si>
  <si>
    <t xml:space="preserve"> The calculations on the Projections worksheet use the highest percentage on this chart.</t>
  </si>
  <si>
    <t>Other income at retirement that will be taxed as ordinary income (e.g. rental income, etc.)</t>
  </si>
  <si>
    <t>Taxed as Ordinary Income</t>
  </si>
  <si>
    <t>Ordinary</t>
  </si>
  <si>
    <t>Withdrawel</t>
  </si>
  <si>
    <t>Here</t>
  </si>
  <si>
    <t>Capital Gains</t>
  </si>
  <si>
    <t>For the individual:</t>
  </si>
  <si>
    <t>For spousal benefits:</t>
  </si>
  <si>
    <t>https://www.ssa.gov/OACT/quickcalc/spouse.html</t>
  </si>
  <si>
    <t>Spousal benefits apply if a spouse does not qualify for Social Security Benefits.</t>
  </si>
  <si>
    <t>Social Security annual cost of living adjustments are based on a comparison of year-over-year changes in the third quarter results for CPI-W. This does not change long-term calculations.</t>
  </si>
  <si>
    <t>https://www.ssa.gov/pubs/EN-05-10069.pdf</t>
  </si>
  <si>
    <t>Social Security benefits are reduced by $1 for every $2 of wages earned at a job (over a certain limit) if you receive Social Security before your full retirement age and work a job.</t>
  </si>
  <si>
    <r>
      <rPr>
        <i/>
        <sz val="11"/>
        <color theme="1"/>
        <rFont val="Calibri"/>
        <family val="2"/>
        <scheme val="minor"/>
      </rPr>
      <t>Dr. Straw's Retirement Game</t>
    </r>
    <r>
      <rPr>
        <sz val="11"/>
        <color theme="1"/>
        <rFont val="Calibri"/>
        <family val="2"/>
        <scheme val="minor"/>
      </rPr>
      <t xml:space="preserve"> assumes you will not work a job after you start receiving Social Security benefits.</t>
    </r>
  </si>
  <si>
    <t>Version</t>
  </si>
  <si>
    <t>`</t>
  </si>
  <si>
    <t>Oregon</t>
  </si>
  <si>
    <t>State Tax Dropdown List</t>
  </si>
  <si>
    <t>Washington</t>
  </si>
  <si>
    <t>Publication OR-17 : Individual Income Tax Guide</t>
  </si>
  <si>
    <t>Alaska</t>
  </si>
  <si>
    <t>Florida</t>
  </si>
  <si>
    <t>Nevada</t>
  </si>
  <si>
    <t>New Hampshire</t>
  </si>
  <si>
    <t>South Dakota</t>
  </si>
  <si>
    <t>Tennessee</t>
  </si>
  <si>
    <t>Texas</t>
  </si>
  <si>
    <t>Wyoming</t>
  </si>
  <si>
    <t>None</t>
  </si>
  <si>
    <t>Nine states have no income tax:</t>
  </si>
  <si>
    <t>https://www.fool.com/research/capital-gains-tax-rates/</t>
  </si>
  <si>
    <t>Overview of every state</t>
  </si>
  <si>
    <t>Notes:</t>
  </si>
  <si>
    <t>Available below these cutoffs</t>
  </si>
  <si>
    <t xml:space="preserve">Capital Gains Taxes </t>
  </si>
  <si>
    <t>Ordinary Income Taxes</t>
  </si>
  <si>
    <t>Total Other</t>
  </si>
  <si>
    <t>Capital Gains Taxes</t>
  </si>
  <si>
    <t>Flat rate of 5%</t>
  </si>
  <si>
    <t>https://revenue.ky.gov/Individual/Individual-Income-Tax/Pages/default.aspx</t>
  </si>
  <si>
    <t>Form 740</t>
  </si>
  <si>
    <t>https://revenue.ky.gov/Get-Help/Pages/Forms.aspx</t>
  </si>
  <si>
    <t xml:space="preserve">Excludes Social Security income (i.e. does not tax it) </t>
  </si>
  <si>
    <t>Tax rate (Form 740, p. 11)</t>
  </si>
  <si>
    <t>Standard Deduction (Form 740, p. 11)</t>
  </si>
  <si>
    <t>Kentucky</t>
  </si>
  <si>
    <t>https://www.ssa.gov/myaccount/</t>
  </si>
  <si>
    <r>
      <t xml:space="preserve">Create a </t>
    </r>
    <r>
      <rPr>
        <i/>
        <sz val="11"/>
        <color theme="1"/>
        <rFont val="Calibri"/>
        <family val="2"/>
        <scheme val="minor"/>
      </rPr>
      <t>my Social Security</t>
    </r>
    <r>
      <rPr>
        <sz val="11"/>
        <color theme="1"/>
        <rFont val="Calibri"/>
        <family val="2"/>
        <scheme val="minor"/>
      </rPr>
      <t xml:space="preserve"> account -------&gt;</t>
    </r>
  </si>
  <si>
    <r>
      <t xml:space="preserve">You must work 10 years (i.e. earn 40 credits) to qualify for Social Security. Your account page lists your status under </t>
    </r>
    <r>
      <rPr>
        <i/>
        <sz val="11"/>
        <color theme="1"/>
        <rFont val="Calibri"/>
        <family val="2"/>
        <scheme val="minor"/>
      </rPr>
      <t>Eligibility and Earnings</t>
    </r>
    <r>
      <rPr>
        <sz val="11"/>
        <color theme="1"/>
        <rFont val="Calibri"/>
        <family val="2"/>
        <scheme val="minor"/>
      </rPr>
      <t>.</t>
    </r>
  </si>
  <si>
    <r>
      <t xml:space="preserve">Enter your full retirement benefit from the </t>
    </r>
    <r>
      <rPr>
        <i/>
        <sz val="11"/>
        <color theme="1"/>
        <rFont val="Calibri"/>
        <family val="2"/>
        <scheme val="minor"/>
      </rPr>
      <t xml:space="preserve">Plan for Retirement </t>
    </r>
    <r>
      <rPr>
        <sz val="11"/>
        <color theme="1"/>
        <rFont val="Calibri"/>
        <family val="2"/>
        <scheme val="minor"/>
      </rPr>
      <t xml:space="preserve">chart. </t>
    </r>
    <r>
      <rPr>
        <i/>
        <sz val="11"/>
        <color theme="1"/>
        <rFont val="Calibri"/>
        <family val="2"/>
        <scheme val="minor"/>
      </rPr>
      <t>Dr. Straw's Retirement Game</t>
    </r>
    <r>
      <rPr>
        <sz val="11"/>
        <color theme="1"/>
        <rFont val="Calibri"/>
        <family val="2"/>
        <scheme val="minor"/>
      </rPr>
      <t xml:space="preserve"> will automatically adjust for inflation and retirement age.</t>
    </r>
  </si>
  <si>
    <t>The account creation process is tedious. Stick with it. Your account will provide valuable information for your retirement planning.</t>
  </si>
  <si>
    <t>Social Security benefits are calculated on your highest 35 years of income.</t>
  </si>
  <si>
    <t>https://www.ssa.gov/pubs/10070.pdf</t>
  </si>
  <si>
    <t>https://www.ssa.gov/oact/quickcalc/spouse.html</t>
  </si>
  <si>
    <t>You should update your Social Security estimates every 2 - 5 years depending on how close you are to retirement.</t>
  </si>
  <si>
    <t>https://www.irs.gov/forms-pubs/about-publication-590-b</t>
  </si>
  <si>
    <t>Lump sum cash from things like inheritance, sale of property, sale of business, or sale of other assets, etc.</t>
  </si>
  <si>
    <t>Other Income</t>
  </si>
  <si>
    <r>
      <t xml:space="preserve">Do not include real estate rental income. Enter real estate rental income in the </t>
    </r>
    <r>
      <rPr>
        <i/>
        <sz val="11"/>
        <color theme="1"/>
        <rFont val="Calibri"/>
        <family val="2"/>
        <scheme val="minor"/>
      </rPr>
      <t>Other Income</t>
    </r>
    <r>
      <rPr>
        <sz val="11"/>
        <color theme="1"/>
        <rFont val="Calibri"/>
        <family val="2"/>
        <scheme val="minor"/>
      </rPr>
      <t xml:space="preserve"> section.</t>
    </r>
  </si>
  <si>
    <t>Lump Sums</t>
  </si>
  <si>
    <t>Life Insurance</t>
  </si>
  <si>
    <t>General Investments</t>
  </si>
  <si>
    <t>Tax Advantaged Investments</t>
  </si>
  <si>
    <t>General Information</t>
  </si>
  <si>
    <t xml:space="preserve">Required minimum distribution (RMD) from tax deferred: 401(k) and 403(b) </t>
  </si>
  <si>
    <t>RMD factors are in Appendex B, Table III of Publication 590-B</t>
  </si>
  <si>
    <t>&lt;-- based on reaching 70.5 years old in 2020 or later.</t>
  </si>
  <si>
    <t>RMD is required for Roth 401(k). However, you can transfer the Roth 401(k) to a Roth IRA to avoid RMD.</t>
  </si>
  <si>
    <t>Tax Prepaid Accounts - Roth IRA or Roth 401(k)</t>
  </si>
  <si>
    <t>Tax Prepaid</t>
  </si>
  <si>
    <t>Long-term</t>
  </si>
  <si>
    <t>General investments are investments other than tax prepaid and tax defferred.</t>
  </si>
  <si>
    <t>Tax Deferred</t>
  </si>
  <si>
    <t>Long-term Capital Gains Accounts</t>
  </si>
  <si>
    <t>No Tax</t>
  </si>
  <si>
    <t>Taxable Inc.</t>
  </si>
  <si>
    <t xml:space="preserve">Enter values in the     </t>
  </si>
  <si>
    <t>Spousal benefits reduce below full retirement age, but do not increase after full retirement age.</t>
  </si>
  <si>
    <t>Life insurance amounts. You will set your estimated age of death in C8 and C9 of the Projections worksheet.</t>
  </si>
  <si>
    <t xml:space="preserve">Worksheets are locked so that most, but not all, formulas are protected from accidental change. </t>
  </si>
  <si>
    <t>State tax worksheets are hidden. There is one worksheet for each state.</t>
  </si>
  <si>
    <t>Worksheet unlocking does not require a password.</t>
  </si>
  <si>
    <t>Captial Gains</t>
  </si>
  <si>
    <t>&lt;-- Enter annual contributions</t>
  </si>
  <si>
    <t xml:space="preserve"> &lt;--Enter annual contributions</t>
  </si>
  <si>
    <t xml:space="preserve"> &lt;------------</t>
  </si>
  <si>
    <t>Several intermediate-step columns are hidden on the Projections worksheet to enhance readability.</t>
  </si>
  <si>
    <t>This program is free software: you can redistribute it and/or modify it under the terms of the GNU General Public License as published by the Free Software Foundation, either version 3 of the License, or any later version.</t>
  </si>
  <si>
    <t>This program is distributed in the hope that it will be useful, but WITHOUT ANY WARRANTY; without even the implied warranty of MERCHANTABILITY or FITNESS FOR A PARTICULAR PURPOSE.  See the GNU General Public License for more details.</t>
  </si>
  <si>
    <t>You should have received a copy of the GNU General Public License along with this program.  If not, see &lt;https://www.gnu.org/licenses/&gt;.</t>
  </si>
  <si>
    <t>The GNU General Public License v3.0 was based on guidance from choosealicense.com</t>
  </si>
  <si>
    <t>https://choosealicense.com/</t>
  </si>
  <si>
    <t>License Notice</t>
  </si>
  <si>
    <t>Available at</t>
  </si>
  <si>
    <t>professorstraw.com</t>
  </si>
  <si>
    <t>&lt;-- Pre-retirement rate</t>
  </si>
  <si>
    <t>&lt;-- Post-retirement rate</t>
  </si>
  <si>
    <t>&lt;-- Death</t>
  </si>
  <si>
    <t>&lt;-- Start SS</t>
  </si>
  <si>
    <t>&lt;-- Retire</t>
  </si>
  <si>
    <t>Instructions</t>
  </si>
  <si>
    <t>Getting Started</t>
  </si>
  <si>
    <t>Use the two dropdown menus to select your choices in the</t>
  </si>
  <si>
    <r>
      <t xml:space="preserve">colored cells in columns C of the </t>
    </r>
    <r>
      <rPr>
        <i/>
        <sz val="11"/>
        <color theme="1"/>
        <rFont val="Calibri"/>
        <family val="2"/>
        <scheme val="minor"/>
      </rPr>
      <t>Setup</t>
    </r>
    <r>
      <rPr>
        <sz val="11"/>
        <color theme="1"/>
        <rFont val="Calibri"/>
        <family val="2"/>
        <scheme val="minor"/>
      </rPr>
      <t xml:space="preserve"> worksheet.</t>
    </r>
  </si>
  <si>
    <r>
      <t xml:space="preserve">colored cells in columns I of the </t>
    </r>
    <r>
      <rPr>
        <i/>
        <sz val="11"/>
        <color theme="1"/>
        <rFont val="Calibri"/>
        <family val="2"/>
        <scheme val="minor"/>
      </rPr>
      <t>Setup</t>
    </r>
    <r>
      <rPr>
        <sz val="11"/>
        <color theme="1"/>
        <rFont val="Calibri"/>
        <family val="2"/>
        <scheme val="minor"/>
      </rPr>
      <t xml:space="preserve"> worksheet.</t>
    </r>
  </si>
  <si>
    <r>
      <t xml:space="preserve">Copy column C of the </t>
    </r>
    <r>
      <rPr>
        <i/>
        <sz val="11"/>
        <color theme="1"/>
        <rFont val="Calibri"/>
        <family val="2"/>
        <scheme val="minor"/>
      </rPr>
      <t>Setup</t>
    </r>
    <r>
      <rPr>
        <sz val="11"/>
        <color theme="1"/>
        <rFont val="Calibri"/>
        <family val="2"/>
        <scheme val="minor"/>
      </rPr>
      <t xml:space="preserve"> worksheet and paste it into the same location in a new version of </t>
    </r>
    <r>
      <rPr>
        <i/>
        <sz val="11"/>
        <color theme="1"/>
        <rFont val="Calibri"/>
        <family val="2"/>
        <scheme val="minor"/>
      </rPr>
      <t>Dr. Straw's Retirement Game</t>
    </r>
    <r>
      <rPr>
        <sz val="11"/>
        <color theme="1"/>
        <rFont val="Calibri"/>
        <family val="2"/>
        <scheme val="minor"/>
      </rPr>
      <t>.</t>
    </r>
  </si>
  <si>
    <r>
      <t xml:space="preserve">Moving to a new version of </t>
    </r>
    <r>
      <rPr>
        <b/>
        <i/>
        <sz val="11"/>
        <color theme="1"/>
        <rFont val="Calibri"/>
        <family val="2"/>
        <scheme val="minor"/>
      </rPr>
      <t>Dr. Straw's Retirement Game</t>
    </r>
  </si>
  <si>
    <t xml:space="preserve">      Stop
&lt;-- investments</t>
  </si>
  <si>
    <t>Technical Notes</t>
  </si>
  <si>
    <t>Read these technical notes only if you are interested in the technical details of how this Excel workbook is set up.</t>
  </si>
  <si>
    <t>Formulas on the Projection worksheet that may eventually be replaced with year-end actuals are not locked.</t>
  </si>
  <si>
    <t>Projections worksheet setup</t>
  </si>
  <si>
    <r>
      <t xml:space="preserve">colored cells of the </t>
    </r>
    <r>
      <rPr>
        <i/>
        <sz val="11"/>
        <color theme="1"/>
        <rFont val="Calibri"/>
        <family val="2"/>
        <scheme val="minor"/>
      </rPr>
      <t>Projections</t>
    </r>
    <r>
      <rPr>
        <sz val="11"/>
        <color theme="1"/>
        <rFont val="Calibri"/>
        <family val="2"/>
        <scheme val="minor"/>
      </rPr>
      <t xml:space="preserve"> worksheet.</t>
    </r>
  </si>
  <si>
    <t>Projections worksheet year-end updates</t>
  </si>
  <si>
    <t xml:space="preserve"> colored cells in columns E, G, AA, AD, and AF.</t>
  </si>
  <si>
    <r>
      <t xml:space="preserve">Enter the year-end </t>
    </r>
    <r>
      <rPr>
        <i/>
        <sz val="11"/>
        <color theme="1"/>
        <rFont val="Calibri"/>
        <family val="2"/>
        <scheme val="minor"/>
      </rPr>
      <t>estimated</t>
    </r>
    <r>
      <rPr>
        <sz val="11"/>
        <color theme="1"/>
        <rFont val="Calibri"/>
        <family val="2"/>
        <scheme val="minor"/>
      </rPr>
      <t xml:space="preserve"> amount in the</t>
    </r>
  </si>
  <si>
    <r>
      <t xml:space="preserve">Complete the </t>
    </r>
    <r>
      <rPr>
        <i/>
        <sz val="11"/>
        <color theme="1"/>
        <rFont val="Calibri"/>
        <family val="2"/>
        <scheme val="minor"/>
      </rPr>
      <t>Projections worksheet setup</t>
    </r>
    <r>
      <rPr>
        <sz val="11"/>
        <color theme="1"/>
        <rFont val="Calibri"/>
        <family val="2"/>
        <scheme val="minor"/>
      </rPr>
      <t xml:space="preserve"> steps above.</t>
    </r>
  </si>
  <si>
    <r>
      <t xml:space="preserve">Enter the year-end </t>
    </r>
    <r>
      <rPr>
        <i/>
        <sz val="11"/>
        <color theme="1"/>
        <rFont val="Calibri"/>
        <family val="2"/>
        <scheme val="minor"/>
      </rPr>
      <t>actual</t>
    </r>
    <r>
      <rPr>
        <sz val="11"/>
        <color theme="1"/>
        <rFont val="Calibri"/>
        <family val="2"/>
        <scheme val="minor"/>
      </rPr>
      <t xml:space="preserve"> amount in the</t>
    </r>
  </si>
  <si>
    <r>
      <t xml:space="preserve">You will need to retrieve the </t>
    </r>
    <r>
      <rPr>
        <i/>
        <sz val="11"/>
        <color theme="1"/>
        <rFont val="Calibri"/>
        <family val="2"/>
        <scheme val="minor"/>
      </rPr>
      <t>actual</t>
    </r>
    <r>
      <rPr>
        <sz val="11"/>
        <color theme="1"/>
        <rFont val="Calibri"/>
        <family val="2"/>
        <scheme val="minor"/>
      </rPr>
      <t xml:space="preserve"> amount from your investment account.</t>
    </r>
  </si>
  <si>
    <r>
      <t xml:space="preserve">These entries replace the formula that estimates the investment performance with the </t>
    </r>
    <r>
      <rPr>
        <i/>
        <sz val="11"/>
        <color theme="1"/>
        <rFont val="Calibri"/>
        <family val="2"/>
        <scheme val="minor"/>
      </rPr>
      <t>actual</t>
    </r>
    <r>
      <rPr>
        <sz val="11"/>
        <color theme="1"/>
        <rFont val="Calibri"/>
        <family val="2"/>
        <scheme val="minor"/>
      </rPr>
      <t xml:space="preserve"> investment performance.</t>
    </r>
  </si>
  <si>
    <t>Tax Deffered Accounts - 401(k) or 403(b)</t>
  </si>
  <si>
    <t xml:space="preserve"> colored cells in columns D, F, O:W, AC, and AE.</t>
  </si>
  <si>
    <t>One Retired</t>
  </si>
  <si>
    <t>Both Retired</t>
  </si>
  <si>
    <t>&lt;-- Select the person whose age settings (A3:A6 or B3:B6) control the general investments in T4:W4.</t>
  </si>
  <si>
    <t>https://www.ssa.gov/benefits/retirement/planner/agereduction.html</t>
  </si>
  <si>
    <t>Full retirement age chart:</t>
  </si>
  <si>
    <t>years for anyone born after 1960</t>
  </si>
  <si>
    <t>Widow or widower at full retirement age</t>
  </si>
  <si>
    <t>0.4.0</t>
  </si>
  <si>
    <t>Copyright © 2022, Eric Straw</t>
  </si>
  <si>
    <r>
      <t xml:space="preserve">To access the GNU General Public License in </t>
    </r>
    <r>
      <rPr>
        <i/>
        <sz val="11"/>
        <rFont val="Calibri"/>
        <family val="2"/>
        <scheme val="minor"/>
      </rPr>
      <t>Dr. Straw's Retirement Game</t>
    </r>
    <r>
      <rPr>
        <sz val="11"/>
        <rFont val="Calibri"/>
        <family val="2"/>
        <scheme val="minor"/>
      </rPr>
      <t xml:space="preserve"> unhide the worksheet labeled </t>
    </r>
    <r>
      <rPr>
        <i/>
        <sz val="11"/>
        <rFont val="Calibri"/>
        <family val="2"/>
        <scheme val="minor"/>
      </rPr>
      <t>License</t>
    </r>
    <r>
      <rPr>
        <sz val="11"/>
        <rFont val="Calibri"/>
        <family val="2"/>
        <scheme val="minor"/>
      </rPr>
      <t xml:space="preserve"> and view that worksheet.</t>
    </r>
  </si>
  <si>
    <t>All of these cells are in the  in the range of A1:AE4.</t>
  </si>
  <si>
    <t>This is the list of columns that are not locked D, F, O:W, AC, and AE.</t>
  </si>
  <si>
    <t>You can unhide these worksheets by right clicking on any worksheet tab and selecting unhide.</t>
  </si>
  <si>
    <t>Taxes capital gains as regular income (See rows 107 to 192)</t>
  </si>
  <si>
    <r>
      <t xml:space="preserve">Select </t>
    </r>
    <r>
      <rPr>
        <i/>
        <sz val="11"/>
        <color theme="1"/>
        <rFont val="Calibri"/>
        <family val="2"/>
        <scheme val="minor"/>
      </rPr>
      <t>Income Tax</t>
    </r>
    <r>
      <rPr>
        <sz val="11"/>
        <color theme="1"/>
        <rFont val="Calibri"/>
        <family val="2"/>
        <scheme val="minor"/>
      </rPr>
      <t xml:space="preserve"> for Tax Type, </t>
    </r>
    <r>
      <rPr>
        <i/>
        <sz val="11"/>
        <color theme="1"/>
        <rFont val="Calibri"/>
        <family val="2"/>
        <scheme val="minor"/>
      </rPr>
      <t>Current</t>
    </r>
    <r>
      <rPr>
        <sz val="11"/>
        <color theme="1"/>
        <rFont val="Calibri"/>
        <family val="2"/>
        <scheme val="minor"/>
      </rPr>
      <t xml:space="preserve"> for Tax Year, and enter </t>
    </r>
    <r>
      <rPr>
        <i/>
        <sz val="11"/>
        <color theme="1"/>
        <rFont val="Calibri"/>
        <family val="2"/>
        <scheme val="minor"/>
      </rPr>
      <t>740</t>
    </r>
    <r>
      <rPr>
        <sz val="11"/>
        <color theme="1"/>
        <rFont val="Calibri"/>
        <family val="2"/>
        <scheme val="minor"/>
      </rPr>
      <t xml:space="preserve"> for Form -- Open </t>
    </r>
    <r>
      <rPr>
        <i/>
        <sz val="11"/>
        <color theme="1"/>
        <rFont val="Calibri"/>
        <family val="2"/>
        <scheme val="minor"/>
      </rPr>
      <t>Form 740 Packet Instructions</t>
    </r>
  </si>
  <si>
    <t>https://www.oregon.gov/dor/forms/FormsPubs/publication-or-17_101-431_2021.pdf</t>
  </si>
  <si>
    <t>Federal tax liability subtraction AGI phase-out (Pub OR-17, search for this phrase)</t>
  </si>
  <si>
    <t>The following table is the far right column of the above table</t>
  </si>
  <si>
    <t>Standard Deduction (Pub OR-17, last page, Miscellaneous Oregon income tax information)</t>
  </si>
  <si>
    <t>Personal Exemption (Pub OR-17, search for Exemption Credit)</t>
  </si>
  <si>
    <t>State Tax bracket ranges (Read as X% for income over amount shown) (search Marginl Tax Rates)</t>
  </si>
  <si>
    <t>one &gt; 65</t>
  </si>
  <si>
    <t>both &gt; 65</t>
  </si>
  <si>
    <t>&lt; 65</t>
  </si>
  <si>
    <t>Deduction</t>
  </si>
  <si>
    <t>You can unhide these columns by first unprotecting the worksheeet and then selecting multiple columns, right clicking on the top of the column, and selecting unhide.</t>
  </si>
  <si>
    <t>2022.8.4</t>
  </si>
  <si>
    <t xml:space="preserve"> </t>
  </si>
  <si>
    <t>Retirement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</si>
</sst>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8" formatCode="&quot;$&quot;#,##0.00_);[Red]\(&quot;$&quot;#,##0.00\)"/>
    <numFmt numFmtId="44" formatCode="_(&quot;$&quot;* #,##0.00_);_(&quot;$&quot;* \(#,##0.00\);_(&quot;$&quot;* &quot;-&quot;??_);_(@_)"/>
    <numFmt numFmtId="164" formatCode="_(&quot;$&quot;* #,##0_);_(&quot;$&quot;* \(#,##0\);_(&quot;$&quot;* &quot;-&quot;??_);_(@_)"/>
    <numFmt numFmtId="165" formatCode="0.0%"/>
    <numFmt numFmtId="166" formatCode="0.0000%"/>
    <numFmt numFmtId="167" formatCode="0.0"/>
    <numFmt numFmtId="168" formatCode="0.000"/>
    <numFmt numFmtId="169" formatCode="_(&quot;$&quot;* #,##0.0_);_(&quot;$&quot;* \(#,##0.0\);_(&quot;$&quot;* &quot;-&quot;??_);_(@_)"/>
    <numFmt numFmtId="170" formatCode="&quot;$&quot;#,##0"/>
    <numFmt numFmtId="171" formatCode="&quot;$&quot;#,##0.00"/>
  </numFmts>
  <fonts count="28"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4"/>
      <color theme="1"/>
      <name val="Calibri"/>
      <family val="2"/>
      <scheme val="minor"/>
    </font>
    <font>
      <b/>
      <sz val="11"/>
      <color theme="0"/>
      <name val="Calibri"/>
      <family val="2"/>
      <scheme val="minor"/>
    </font>
    <font>
      <b/>
      <sz val="12"/>
      <color theme="1"/>
      <name val="Calibri"/>
      <family val="2"/>
      <scheme val="minor"/>
    </font>
    <font>
      <i/>
      <sz val="11"/>
      <color theme="1"/>
      <name val="Calibri"/>
      <family val="2"/>
      <scheme val="minor"/>
    </font>
    <font>
      <b/>
      <sz val="11"/>
      <name val="Calibri"/>
      <family val="2"/>
      <scheme val="minor"/>
    </font>
    <font>
      <sz val="8"/>
      <name val="Calibri"/>
      <family val="2"/>
      <scheme val="minor"/>
    </font>
    <font>
      <sz val="12"/>
      <color theme="1"/>
      <name val="Calibri"/>
      <family val="2"/>
      <scheme val="minor"/>
    </font>
    <font>
      <sz val="11"/>
      <color theme="0"/>
      <name val="Calibri"/>
      <family val="2"/>
      <scheme val="minor"/>
    </font>
    <font>
      <sz val="9"/>
      <color theme="1"/>
      <name val="Calibri"/>
      <family val="2"/>
      <scheme val="minor"/>
    </font>
    <font>
      <sz val="11"/>
      <color theme="10"/>
      <name val="Calibri"/>
      <family val="2"/>
      <scheme val="minor"/>
    </font>
    <font>
      <sz val="36"/>
      <color theme="1"/>
      <name val="Times New Roman"/>
      <family val="1"/>
    </font>
    <font>
      <i/>
      <sz val="11"/>
      <name val="Calibri"/>
      <family val="2"/>
      <scheme val="minor"/>
    </font>
    <font>
      <b/>
      <sz val="11"/>
      <color theme="9" tint="-0.499984740745262"/>
      <name val="Calibri"/>
      <family val="2"/>
      <scheme val="minor"/>
    </font>
    <font>
      <sz val="9"/>
      <name val="Calibri"/>
      <family val="2"/>
      <scheme val="minor"/>
    </font>
    <font>
      <b/>
      <sz val="20"/>
      <color theme="1"/>
      <name val="Calibri"/>
      <family val="2"/>
      <scheme val="minor"/>
    </font>
    <font>
      <b/>
      <i/>
      <sz val="11"/>
      <color theme="1"/>
      <name val="Calibri"/>
      <family val="2"/>
      <scheme val="minor"/>
    </font>
    <font>
      <b/>
      <sz val="20"/>
      <color theme="0"/>
      <name val="Calibri"/>
      <family val="2"/>
      <scheme val="minor"/>
    </font>
    <font>
      <b/>
      <sz val="9"/>
      <color indexed="81"/>
      <name val="Tahoma"/>
      <family val="2"/>
    </font>
    <font>
      <sz val="9"/>
      <color indexed="81"/>
      <name val="Tahoma"/>
      <family val="2"/>
    </font>
    <font>
      <sz val="11"/>
      <color theme="0" tint="-4.9989318521683403E-2"/>
      <name val="Calibri"/>
      <family val="2"/>
      <scheme val="minor"/>
    </font>
    <font>
      <b/>
      <sz val="11"/>
      <color rgb="FFFF0000"/>
      <name val="Calibri"/>
      <family val="2"/>
      <scheme val="minor"/>
    </font>
    <font>
      <sz val="11"/>
      <color theme="2"/>
      <name val="Calibri"/>
      <family val="2"/>
      <scheme val="minor"/>
    </font>
    <font>
      <b/>
      <sz val="11"/>
      <color theme="0" tint="-4.9989318521683403E-2"/>
      <name val="Calibri"/>
      <family val="2"/>
      <scheme val="minor"/>
    </font>
  </fonts>
  <fills count="26">
    <fill>
      <patternFill patternType="none"/>
    </fill>
    <fill>
      <patternFill patternType="gray125"/>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rgb="FFFFCC9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3" tint="-0.249977111117893"/>
        <bgColor indexed="64"/>
      </patternFill>
    </fill>
    <fill>
      <patternFill patternType="solid">
        <fgColor theme="4" tint="-0.249977111117893"/>
        <bgColor indexed="64"/>
      </patternFill>
    </fill>
    <fill>
      <patternFill patternType="solid">
        <fgColor theme="8" tint="-0.499984740745262"/>
        <bgColor indexed="64"/>
      </patternFill>
    </fill>
    <fill>
      <patternFill patternType="solid">
        <fgColor rgb="FFE0EED6"/>
        <bgColor indexed="64"/>
      </patternFill>
    </fill>
    <fill>
      <patternFill patternType="solid">
        <fgColor theme="4" tint="0.39997558519241921"/>
        <bgColor indexed="64"/>
      </patternFill>
    </fill>
    <fill>
      <patternFill patternType="solid">
        <fgColor rgb="FFFFE2C5"/>
        <bgColor indexed="64"/>
      </patternFill>
    </fill>
    <fill>
      <patternFill patternType="solid">
        <fgColor theme="4" tint="-0.499984740745262"/>
        <bgColor indexed="64"/>
      </patternFill>
    </fill>
    <fill>
      <patternFill patternType="solid">
        <fgColor them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cellStyleXfs>
  <cellXfs count="454">
    <xf numFmtId="0" fontId="0" fillId="0" borderId="0" xfId="0"/>
    <xf numFmtId="6" fontId="0" fillId="0" borderId="0" xfId="0" applyNumberFormat="1"/>
    <xf numFmtId="9" fontId="0" fillId="0" borderId="0" xfId="2" applyFont="1"/>
    <xf numFmtId="6" fontId="2" fillId="0" borderId="0" xfId="0" applyNumberFormat="1" applyFont="1"/>
    <xf numFmtId="164" fontId="0" fillId="0" borderId="0" xfId="0" applyNumberFormat="1"/>
    <xf numFmtId="6" fontId="0" fillId="0" borderId="0" xfId="0" applyNumberFormat="1" applyAlignment="1">
      <alignment horizontal="center"/>
    </xf>
    <xf numFmtId="6" fontId="2" fillId="0" borderId="0" xfId="0" applyNumberFormat="1" applyFont="1" applyAlignment="1">
      <alignment horizontal="center"/>
    </xf>
    <xf numFmtId="164" fontId="0" fillId="0" borderId="0" xfId="1" applyNumberFormat="1" applyFont="1"/>
    <xf numFmtId="6" fontId="2" fillId="3" borderId="7" xfId="0" applyNumberFormat="1" applyFont="1" applyFill="1" applyBorder="1" applyAlignment="1">
      <alignment horizontal="center"/>
    </xf>
    <xf numFmtId="6" fontId="0" fillId="4" borderId="7" xfId="0" applyNumberFormat="1" applyFill="1" applyBorder="1" applyAlignment="1">
      <alignment horizontal="center"/>
    </xf>
    <xf numFmtId="6" fontId="2" fillId="4" borderId="7" xfId="0" applyNumberFormat="1" applyFont="1" applyFill="1" applyBorder="1" applyAlignment="1">
      <alignment horizontal="center"/>
    </xf>
    <xf numFmtId="6" fontId="2" fillId="0" borderId="10" xfId="0" applyNumberFormat="1" applyFont="1" applyBorder="1" applyAlignment="1">
      <alignment horizontal="center"/>
    </xf>
    <xf numFmtId="6" fontId="3" fillId="0" borderId="0" xfId="3" applyNumberFormat="1"/>
    <xf numFmtId="14" fontId="0" fillId="0" borderId="0" xfId="0" applyNumberFormat="1"/>
    <xf numFmtId="6" fontId="0" fillId="7" borderId="0" xfId="0" applyNumberFormat="1" applyFill="1"/>
    <xf numFmtId="165" fontId="0" fillId="0" borderId="0" xfId="2" applyNumberFormat="1" applyFont="1"/>
    <xf numFmtId="164" fontId="0" fillId="0" borderId="3" xfId="0" applyNumberFormat="1" applyBorder="1"/>
    <xf numFmtId="0" fontId="0" fillId="0" borderId="0" xfId="0" applyAlignment="1">
      <alignment horizontal="right"/>
    </xf>
    <xf numFmtId="10" fontId="0" fillId="0" borderId="0" xfId="2" applyNumberFormat="1" applyFont="1"/>
    <xf numFmtId="0" fontId="3" fillId="0" borderId="0" xfId="3" applyNumberFormat="1"/>
    <xf numFmtId="0" fontId="3" fillId="0" borderId="0" xfId="3"/>
    <xf numFmtId="0" fontId="2" fillId="0" borderId="0" xfId="0" applyFont="1"/>
    <xf numFmtId="0" fontId="2" fillId="0" borderId="0" xfId="0" applyFont="1" applyFill="1" applyBorder="1" applyAlignment="1">
      <alignment horizontal="right"/>
    </xf>
    <xf numFmtId="0" fontId="0" fillId="0" borderId="0" xfId="0" applyFill="1" applyBorder="1" applyAlignment="1">
      <alignment horizontal="right"/>
    </xf>
    <xf numFmtId="0" fontId="0" fillId="10" borderId="0" xfId="0" applyFill="1" applyBorder="1" applyAlignment="1">
      <alignment horizontal="right"/>
    </xf>
    <xf numFmtId="0" fontId="0" fillId="2" borderId="0" xfId="0" applyFill="1" applyBorder="1" applyAlignment="1">
      <alignment horizontal="right"/>
    </xf>
    <xf numFmtId="0" fontId="0" fillId="2" borderId="0" xfId="0" applyFill="1" applyBorder="1" applyAlignment="1">
      <alignment horizontal="left"/>
    </xf>
    <xf numFmtId="0" fontId="7" fillId="2" borderId="7" xfId="0" applyFont="1" applyFill="1" applyBorder="1"/>
    <xf numFmtId="0" fontId="0" fillId="2" borderId="8" xfId="0" applyFill="1" applyBorder="1"/>
    <xf numFmtId="0" fontId="0" fillId="2" borderId="9" xfId="0" applyFill="1" applyBorder="1"/>
    <xf numFmtId="0" fontId="0" fillId="2" borderId="10" xfId="0" applyFill="1" applyBorder="1"/>
    <xf numFmtId="0" fontId="0" fillId="2" borderId="0" xfId="0" applyFill="1" applyBorder="1"/>
    <xf numFmtId="0" fontId="0" fillId="2" borderId="13" xfId="0" applyFill="1" applyBorder="1"/>
    <xf numFmtId="0" fontId="0" fillId="2" borderId="11" xfId="0" applyFill="1" applyBorder="1"/>
    <xf numFmtId="0" fontId="0" fillId="2" borderId="6" xfId="0" applyFill="1" applyBorder="1"/>
    <xf numFmtId="0" fontId="0" fillId="2" borderId="12" xfId="0" applyFill="1" applyBorder="1"/>
    <xf numFmtId="6" fontId="0" fillId="0" borderId="0" xfId="0" applyNumberFormat="1" applyFill="1"/>
    <xf numFmtId="44" fontId="0" fillId="0" borderId="0" xfId="1" applyFont="1"/>
    <xf numFmtId="44" fontId="0" fillId="0" borderId="0" xfId="0" applyNumberFormat="1"/>
    <xf numFmtId="166" fontId="0" fillId="0" borderId="0" xfId="0" applyNumberFormat="1" applyFill="1" applyBorder="1"/>
    <xf numFmtId="0" fontId="4" fillId="0" borderId="0" xfId="3" applyFont="1" applyFill="1"/>
    <xf numFmtId="0" fontId="4" fillId="0" borderId="0" xfId="0" applyFont="1" applyFill="1" applyAlignment="1">
      <alignment horizontal="center"/>
    </xf>
    <xf numFmtId="0" fontId="4" fillId="0" borderId="0" xfId="0" applyFont="1" applyFill="1" applyBorder="1" applyAlignment="1">
      <alignment horizontal="center"/>
    </xf>
    <xf numFmtId="14" fontId="3" fillId="0" borderId="0" xfId="3" applyNumberFormat="1"/>
    <xf numFmtId="6" fontId="0" fillId="4" borderId="5" xfId="0" applyNumberFormat="1" applyFill="1" applyBorder="1" applyAlignment="1">
      <alignment horizontal="center"/>
    </xf>
    <xf numFmtId="0" fontId="2" fillId="0" borderId="0" xfId="0" applyFont="1" applyAlignment="1">
      <alignment horizontal="left"/>
    </xf>
    <xf numFmtId="0" fontId="0" fillId="0" borderId="0" xfId="0" applyBorder="1" applyAlignment="1">
      <alignment horizontal="center"/>
    </xf>
    <xf numFmtId="0" fontId="0" fillId="0" borderId="0" xfId="0" applyFill="1" applyBorder="1"/>
    <xf numFmtId="0" fontId="0" fillId="0" borderId="0" xfId="0" applyBorder="1"/>
    <xf numFmtId="0" fontId="0" fillId="0" borderId="0" xfId="0" applyAlignment="1">
      <alignment horizontal="center"/>
    </xf>
    <xf numFmtId="0" fontId="3" fillId="0" borderId="0" xfId="3" applyFill="1"/>
    <xf numFmtId="6" fontId="0" fillId="3" borderId="5" xfId="0" applyNumberFormat="1" applyFill="1" applyBorder="1" applyAlignment="1">
      <alignment horizontal="center"/>
    </xf>
    <xf numFmtId="6" fontId="0" fillId="0" borderId="0" xfId="0" applyNumberFormat="1" applyFill="1" applyBorder="1"/>
    <xf numFmtId="6" fontId="0" fillId="0" borderId="0" xfId="0" applyNumberFormat="1" applyFill="1" applyBorder="1" applyAlignment="1">
      <alignment horizontal="center"/>
    </xf>
    <xf numFmtId="0" fontId="4" fillId="0" borderId="0" xfId="0" applyFont="1" applyFill="1"/>
    <xf numFmtId="164" fontId="4" fillId="0" borderId="0" xfId="0" applyNumberFormat="1" applyFont="1" applyFill="1"/>
    <xf numFmtId="164" fontId="4" fillId="0" borderId="0" xfId="1" applyNumberFormat="1" applyFont="1" applyFill="1"/>
    <xf numFmtId="0" fontId="4" fillId="0" borderId="0" xfId="0" applyFont="1" applyFill="1" applyAlignment="1">
      <alignment horizontal="right"/>
    </xf>
    <xf numFmtId="165" fontId="4" fillId="0" borderId="0" xfId="2" applyNumberFormat="1" applyFont="1" applyFill="1"/>
    <xf numFmtId="9" fontId="4" fillId="0" borderId="0" xfId="2" applyFont="1" applyFill="1"/>
    <xf numFmtId="165" fontId="3" fillId="0" borderId="0" xfId="3" applyNumberFormat="1" applyFill="1"/>
    <xf numFmtId="164" fontId="0" fillId="0" borderId="0" xfId="0" applyNumberFormat="1" applyBorder="1"/>
    <xf numFmtId="164" fontId="4" fillId="0" borderId="0" xfId="1" applyNumberFormat="1" applyFont="1" applyFill="1" applyBorder="1"/>
    <xf numFmtId="9" fontId="0" fillId="0" borderId="0" xfId="2" applyFont="1" applyBorder="1"/>
    <xf numFmtId="5" fontId="0" fillId="0" borderId="0" xfId="0" applyNumberFormat="1"/>
    <xf numFmtId="5" fontId="0" fillId="0" borderId="0" xfId="1" applyNumberFormat="1" applyFont="1"/>
    <xf numFmtId="0" fontId="0" fillId="0" borderId="9" xfId="0" applyBorder="1"/>
    <xf numFmtId="0" fontId="0" fillId="0" borderId="13" xfId="0" applyBorder="1"/>
    <xf numFmtId="0" fontId="0" fillId="0" borderId="12" xfId="0" applyBorder="1"/>
    <xf numFmtId="6" fontId="0" fillId="9" borderId="12" xfId="0" applyNumberFormat="1" applyFill="1" applyBorder="1"/>
    <xf numFmtId="6" fontId="0" fillId="2" borderId="0" xfId="0" applyNumberFormat="1" applyFill="1" applyBorder="1" applyAlignment="1">
      <alignment horizontal="center"/>
    </xf>
    <xf numFmtId="6" fontId="0" fillId="12" borderId="7" xfId="0" applyNumberFormat="1" applyFill="1" applyBorder="1" applyAlignment="1">
      <alignment horizontal="center"/>
    </xf>
    <xf numFmtId="6" fontId="0" fillId="2" borderId="13" xfId="0" applyNumberFormat="1" applyFill="1" applyBorder="1" applyAlignment="1">
      <alignment horizontal="center"/>
    </xf>
    <xf numFmtId="6" fontId="0" fillId="2" borderId="5" xfId="0" applyNumberFormat="1" applyFont="1" applyFill="1" applyBorder="1" applyAlignment="1">
      <alignment horizontal="center"/>
    </xf>
    <xf numFmtId="6" fontId="0" fillId="11" borderId="4" xfId="0" applyNumberFormat="1" applyFill="1" applyBorder="1" applyAlignment="1">
      <alignment horizontal="center"/>
    </xf>
    <xf numFmtId="0" fontId="0" fillId="0" borderId="0" xfId="2" applyNumberFormat="1" applyFont="1"/>
    <xf numFmtId="0" fontId="4" fillId="0" borderId="0" xfId="3" applyFont="1"/>
    <xf numFmtId="169" fontId="4" fillId="0" borderId="0" xfId="1" applyNumberFormat="1" applyFont="1"/>
    <xf numFmtId="0" fontId="4" fillId="0" borderId="0" xfId="0" applyFont="1"/>
    <xf numFmtId="0" fontId="2" fillId="0" borderId="7" xfId="0" applyFont="1" applyBorder="1"/>
    <xf numFmtId="0" fontId="0" fillId="0" borderId="8" xfId="2" applyNumberFormat="1" applyFont="1" applyBorder="1"/>
    <xf numFmtId="0" fontId="4" fillId="0" borderId="8" xfId="3" applyFont="1" applyBorder="1"/>
    <xf numFmtId="169" fontId="4" fillId="0" borderId="8" xfId="1" applyNumberFormat="1" applyFont="1" applyBorder="1"/>
    <xf numFmtId="0" fontId="4" fillId="0" borderId="8" xfId="0" applyFont="1" applyBorder="1"/>
    <xf numFmtId="0" fontId="0" fillId="0" borderId="10" xfId="0" applyBorder="1"/>
    <xf numFmtId="0" fontId="0" fillId="0" borderId="0" xfId="2" applyNumberFormat="1" applyFont="1" applyBorder="1"/>
    <xf numFmtId="0" fontId="4" fillId="0" borderId="0" xfId="3" applyFont="1" applyBorder="1"/>
    <xf numFmtId="169" fontId="4" fillId="0" borderId="0" xfId="1" applyNumberFormat="1" applyFont="1" applyBorder="1"/>
    <xf numFmtId="0" fontId="4" fillId="0" borderId="0" xfId="0" applyFont="1" applyBorder="1"/>
    <xf numFmtId="10" fontId="4" fillId="0" borderId="0" xfId="2" applyNumberFormat="1" applyFont="1" applyBorder="1"/>
    <xf numFmtId="0" fontId="4" fillId="0" borderId="0" xfId="0" applyFont="1" applyFill="1" applyBorder="1" applyAlignment="1">
      <alignment horizontal="right"/>
    </xf>
    <xf numFmtId="170" fontId="4" fillId="0" borderId="0" xfId="3" applyNumberFormat="1" applyFont="1" applyBorder="1"/>
    <xf numFmtId="170" fontId="4" fillId="0" borderId="0" xfId="1" applyNumberFormat="1" applyFont="1" applyBorder="1"/>
    <xf numFmtId="170" fontId="4" fillId="0" borderId="0" xfId="0" applyNumberFormat="1" applyFont="1" applyBorder="1"/>
    <xf numFmtId="0" fontId="4" fillId="0" borderId="0" xfId="0" applyFont="1" applyFill="1" applyBorder="1" applyAlignment="1">
      <alignment horizontal="left"/>
    </xf>
    <xf numFmtId="170" fontId="0" fillId="0" borderId="0" xfId="0" applyNumberFormat="1" applyBorder="1"/>
    <xf numFmtId="0" fontId="0" fillId="0" borderId="11" xfId="0" applyBorder="1"/>
    <xf numFmtId="0" fontId="4" fillId="0" borderId="6" xfId="0" applyFont="1" applyFill="1" applyBorder="1" applyAlignment="1">
      <alignment horizontal="right"/>
    </xf>
    <xf numFmtId="170" fontId="4" fillId="0" borderId="6" xfId="0" applyNumberFormat="1" applyFont="1" applyBorder="1"/>
    <xf numFmtId="0" fontId="4" fillId="0" borderId="6" xfId="0" applyFont="1" applyBorder="1"/>
    <xf numFmtId="0" fontId="0" fillId="0" borderId="8" xfId="0" applyBorder="1"/>
    <xf numFmtId="169" fontId="0" fillId="0" borderId="0" xfId="1" applyNumberFormat="1" applyFont="1" applyBorder="1"/>
    <xf numFmtId="0" fontId="3" fillId="0" borderId="0" xfId="3" applyBorder="1"/>
    <xf numFmtId="170" fontId="4" fillId="0" borderId="0" xfId="1" applyNumberFormat="1" applyFont="1" applyFill="1" applyBorder="1"/>
    <xf numFmtId="0" fontId="0" fillId="0" borderId="6" xfId="0" applyBorder="1"/>
    <xf numFmtId="0" fontId="2" fillId="0" borderId="10" xfId="0" applyFont="1" applyBorder="1"/>
    <xf numFmtId="0" fontId="0" fillId="0" borderId="10" xfId="0" applyFont="1" applyBorder="1"/>
    <xf numFmtId="0" fontId="0" fillId="0" borderId="0" xfId="0" applyBorder="1" applyAlignment="1">
      <alignment horizontal="right"/>
    </xf>
    <xf numFmtId="0" fontId="0" fillId="0" borderId="6" xfId="0" applyBorder="1" applyAlignment="1">
      <alignment horizontal="right"/>
    </xf>
    <xf numFmtId="164" fontId="0" fillId="0" borderId="6" xfId="0" applyNumberFormat="1" applyBorder="1"/>
    <xf numFmtId="9" fontId="4" fillId="0" borderId="0" xfId="0" applyNumberFormat="1" applyFont="1" applyFill="1" applyBorder="1" applyAlignment="1">
      <alignment horizontal="left"/>
    </xf>
    <xf numFmtId="0" fontId="4" fillId="0" borderId="7" xfId="0" applyFont="1" applyFill="1" applyBorder="1" applyAlignment="1">
      <alignment horizontal="left"/>
    </xf>
    <xf numFmtId="170" fontId="0" fillId="0" borderId="8" xfId="0" applyNumberFormat="1" applyBorder="1"/>
    <xf numFmtId="170" fontId="0" fillId="0" borderId="9" xfId="0" applyNumberFormat="1" applyBorder="1"/>
    <xf numFmtId="0" fontId="0" fillId="0" borderId="10" xfId="0" applyBorder="1" applyAlignment="1">
      <alignment horizontal="center"/>
    </xf>
    <xf numFmtId="0" fontId="0" fillId="0" borderId="13" xfId="0" applyBorder="1" applyAlignment="1">
      <alignment horizontal="center"/>
    </xf>
    <xf numFmtId="170" fontId="0" fillId="0" borderId="10" xfId="0" applyNumberFormat="1" applyBorder="1"/>
    <xf numFmtId="9" fontId="4" fillId="0" borderId="13" xfId="0" applyNumberFormat="1" applyFont="1" applyFill="1" applyBorder="1" applyAlignment="1">
      <alignment horizontal="left"/>
    </xf>
    <xf numFmtId="170" fontId="0" fillId="0" borderId="11" xfId="0" applyNumberFormat="1" applyBorder="1"/>
    <xf numFmtId="170" fontId="0" fillId="0" borderId="6" xfId="0" applyNumberFormat="1" applyBorder="1"/>
    <xf numFmtId="9" fontId="4" fillId="0" borderId="12" xfId="0" applyNumberFormat="1" applyFont="1" applyFill="1" applyBorder="1" applyAlignment="1">
      <alignment horizontal="left"/>
    </xf>
    <xf numFmtId="0" fontId="4" fillId="0" borderId="11" xfId="0" applyNumberFormat="1" applyFont="1" applyFill="1" applyBorder="1" applyAlignment="1">
      <alignment horizontal="left"/>
    </xf>
    <xf numFmtId="0" fontId="4" fillId="0" borderId="6" xfId="0" applyNumberFormat="1" applyFont="1" applyFill="1" applyBorder="1" applyAlignment="1">
      <alignment horizontal="left"/>
    </xf>
    <xf numFmtId="0" fontId="4" fillId="0" borderId="6" xfId="2" applyNumberFormat="1" applyFont="1" applyFill="1" applyBorder="1" applyAlignment="1">
      <alignment horizontal="left"/>
    </xf>
    <xf numFmtId="10" fontId="4" fillId="0" borderId="13" xfId="0" applyNumberFormat="1" applyFont="1" applyFill="1" applyBorder="1" applyAlignment="1">
      <alignment horizontal="left"/>
    </xf>
    <xf numFmtId="10" fontId="4" fillId="0" borderId="12" xfId="0" applyNumberFormat="1" applyFont="1" applyFill="1" applyBorder="1" applyAlignment="1">
      <alignment horizontal="left"/>
    </xf>
    <xf numFmtId="0" fontId="4" fillId="0" borderId="0" xfId="0" applyFont="1" applyFill="1" applyBorder="1"/>
    <xf numFmtId="6" fontId="0" fillId="13" borderId="13" xfId="0" applyNumberFormat="1" applyFill="1" applyBorder="1" applyAlignment="1">
      <alignment horizontal="center"/>
    </xf>
    <xf numFmtId="6" fontId="0" fillId="6" borderId="13" xfId="0" applyNumberFormat="1" applyFill="1" applyBorder="1" applyAlignment="1">
      <alignment horizontal="center"/>
    </xf>
    <xf numFmtId="0" fontId="3" fillId="0" borderId="9" xfId="3" applyBorder="1"/>
    <xf numFmtId="0" fontId="3" fillId="0" borderId="13" xfId="3" applyBorder="1"/>
    <xf numFmtId="0" fontId="3" fillId="0" borderId="12" xfId="3" applyBorder="1"/>
    <xf numFmtId="164" fontId="0" fillId="0" borderId="0" xfId="1" applyNumberFormat="1" applyFont="1" applyBorder="1"/>
    <xf numFmtId="171" fontId="0" fillId="0" borderId="0" xfId="0" applyNumberFormat="1" applyBorder="1"/>
    <xf numFmtId="6" fontId="0" fillId="0" borderId="0" xfId="1" applyNumberFormat="1" applyFont="1"/>
    <xf numFmtId="6" fontId="0" fillId="2" borderId="10" xfId="0" applyNumberFormat="1" applyFill="1" applyBorder="1" applyAlignment="1">
      <alignment horizontal="center"/>
    </xf>
    <xf numFmtId="0" fontId="0" fillId="0" borderId="0" xfId="2" applyNumberFormat="1" applyFont="1" applyBorder="1" applyAlignment="1">
      <alignment horizontal="right"/>
    </xf>
    <xf numFmtId="164" fontId="9" fillId="0" borderId="0" xfId="1" applyNumberFormat="1" applyFont="1" applyFill="1" applyBorder="1"/>
    <xf numFmtId="170" fontId="9" fillId="0" borderId="0" xfId="1" applyNumberFormat="1" applyFont="1" applyFill="1" applyBorder="1"/>
    <xf numFmtId="170" fontId="9" fillId="0" borderId="0" xfId="0" applyNumberFormat="1" applyFont="1" applyFill="1" applyBorder="1"/>
    <xf numFmtId="170" fontId="4" fillId="0" borderId="0" xfId="0" applyNumberFormat="1" applyFont="1" applyFill="1" applyBorder="1"/>
    <xf numFmtId="0" fontId="0" fillId="0" borderId="0" xfId="0" applyFont="1"/>
    <xf numFmtId="164" fontId="2" fillId="0" borderId="0" xfId="0" applyNumberFormat="1" applyFont="1" applyAlignment="1">
      <alignment horizontal="center"/>
    </xf>
    <xf numFmtId="6" fontId="0" fillId="0" borderId="15" xfId="0" applyNumberFormat="1" applyBorder="1"/>
    <xf numFmtId="6" fontId="0" fillId="3" borderId="17" xfId="0" applyNumberFormat="1" applyFill="1" applyBorder="1" applyAlignment="1">
      <alignment horizontal="center"/>
    </xf>
    <xf numFmtId="6" fontId="0" fillId="4" borderId="17" xfId="0" applyNumberFormat="1" applyFill="1" applyBorder="1" applyAlignment="1">
      <alignment horizontal="center"/>
    </xf>
    <xf numFmtId="6" fontId="0" fillId="7" borderId="16" xfId="0" applyNumberFormat="1" applyFill="1" applyBorder="1" applyAlignment="1">
      <alignment horizontal="center"/>
    </xf>
    <xf numFmtId="6" fontId="2" fillId="7" borderId="14" xfId="0" applyNumberFormat="1" applyFont="1" applyFill="1" applyBorder="1" applyAlignment="1">
      <alignment horizontal="center"/>
    </xf>
    <xf numFmtId="6" fontId="0" fillId="2" borderId="14" xfId="0" applyNumberFormat="1" applyFill="1" applyBorder="1" applyAlignment="1">
      <alignment horizontal="center"/>
    </xf>
    <xf numFmtId="6" fontId="0" fillId="12" borderId="17" xfId="0" applyNumberFormat="1" applyFill="1" applyBorder="1" applyAlignment="1">
      <alignment horizontal="center"/>
    </xf>
    <xf numFmtId="6" fontId="0" fillId="3" borderId="16" xfId="0" applyNumberFormat="1" applyFill="1" applyBorder="1" applyAlignment="1">
      <alignment horizontal="center"/>
    </xf>
    <xf numFmtId="6" fontId="0" fillId="4" borderId="16" xfId="0" applyNumberFormat="1" applyFill="1" applyBorder="1" applyAlignment="1">
      <alignment horizontal="center"/>
    </xf>
    <xf numFmtId="6" fontId="0" fillId="2" borderId="15" xfId="0" applyNumberFormat="1" applyFill="1" applyBorder="1" applyAlignment="1">
      <alignment horizontal="center"/>
    </xf>
    <xf numFmtId="6" fontId="0" fillId="13" borderId="14" xfId="0" applyNumberFormat="1" applyFill="1" applyBorder="1" applyAlignment="1">
      <alignment horizontal="center"/>
    </xf>
    <xf numFmtId="6" fontId="8" fillId="13" borderId="14" xfId="0" applyNumberFormat="1" applyFont="1" applyFill="1" applyBorder="1" applyAlignment="1">
      <alignment horizontal="center"/>
    </xf>
    <xf numFmtId="6" fontId="8" fillId="6" borderId="14" xfId="0" applyNumberFormat="1" applyFont="1" applyFill="1" applyBorder="1" applyAlignment="1">
      <alignment horizontal="center"/>
    </xf>
    <xf numFmtId="6" fontId="8" fillId="2" borderId="16" xfId="0" applyNumberFormat="1" applyFont="1" applyFill="1" applyBorder="1" applyAlignment="1">
      <alignment horizontal="center"/>
    </xf>
    <xf numFmtId="6" fontId="0" fillId="11" borderId="16" xfId="0" applyNumberFormat="1" applyFill="1" applyBorder="1" applyAlignment="1">
      <alignment horizontal="center"/>
    </xf>
    <xf numFmtId="165" fontId="4" fillId="0" borderId="19" xfId="2" applyNumberFormat="1" applyFont="1" applyFill="1" applyBorder="1" applyAlignment="1">
      <alignment horizontal="center"/>
    </xf>
    <xf numFmtId="6" fontId="4" fillId="0" borderId="19" xfId="0" applyNumberFormat="1" applyFont="1" applyFill="1" applyBorder="1"/>
    <xf numFmtId="6" fontId="0" fillId="0" borderId="22" xfId="0" applyNumberFormat="1" applyBorder="1"/>
    <xf numFmtId="0" fontId="7" fillId="2" borderId="10" xfId="0" applyFont="1" applyFill="1" applyBorder="1"/>
    <xf numFmtId="6" fontId="0" fillId="3" borderId="8" xfId="0" applyNumberFormat="1" applyFill="1" applyBorder="1" applyAlignment="1">
      <alignment horizontal="center"/>
    </xf>
    <xf numFmtId="6" fontId="0" fillId="3" borderId="7" xfId="0" applyNumberFormat="1" applyFill="1" applyBorder="1" applyAlignment="1"/>
    <xf numFmtId="6" fontId="0" fillId="3" borderId="8" xfId="0" applyNumberFormat="1" applyFill="1" applyBorder="1" applyAlignment="1"/>
    <xf numFmtId="6" fontId="0" fillId="3" borderId="9" xfId="0" applyNumberFormat="1" applyFill="1" applyBorder="1" applyAlignment="1"/>
    <xf numFmtId="0" fontId="5" fillId="0" borderId="18" xfId="0" applyNumberFormat="1" applyFont="1" applyBorder="1"/>
    <xf numFmtId="6" fontId="2" fillId="0" borderId="21" xfId="0" applyNumberFormat="1" applyFont="1" applyBorder="1"/>
    <xf numFmtId="6" fontId="0" fillId="2" borderId="9" xfId="0" applyNumberFormat="1" applyFill="1" applyBorder="1" applyAlignment="1">
      <alignment horizontal="center"/>
    </xf>
    <xf numFmtId="6" fontId="0" fillId="0" borderId="4" xfId="0" applyNumberFormat="1" applyFill="1" applyBorder="1" applyAlignment="1">
      <alignment horizontal="center"/>
    </xf>
    <xf numFmtId="0" fontId="4" fillId="0" borderId="2" xfId="1" applyNumberFormat="1" applyFont="1" applyFill="1" applyBorder="1" applyAlignment="1"/>
    <xf numFmtId="0" fontId="0" fillId="0" borderId="4" xfId="0" applyNumberFormat="1" applyFill="1" applyBorder="1" applyAlignment="1">
      <alignment horizontal="left"/>
    </xf>
    <xf numFmtId="0" fontId="0" fillId="15" borderId="11" xfId="0" applyFill="1" applyBorder="1"/>
    <xf numFmtId="0" fontId="2" fillId="15" borderId="6" xfId="0" applyFont="1" applyFill="1" applyBorder="1" applyAlignment="1">
      <alignment horizontal="right"/>
    </xf>
    <xf numFmtId="0" fontId="0" fillId="15" borderId="6" xfId="0" applyFill="1" applyBorder="1"/>
    <xf numFmtId="0" fontId="0" fillId="15" borderId="12" xfId="0" applyFill="1" applyBorder="1"/>
    <xf numFmtId="0" fontId="0" fillId="15" borderId="0" xfId="0" applyFill="1" applyBorder="1"/>
    <xf numFmtId="0" fontId="0" fillId="15" borderId="13" xfId="0" applyFill="1" applyBorder="1"/>
    <xf numFmtId="0" fontId="0" fillId="15" borderId="10" xfId="0" applyFill="1" applyBorder="1"/>
    <xf numFmtId="0" fontId="2" fillId="15" borderId="0" xfId="0" applyFont="1" applyFill="1" applyBorder="1" applyAlignment="1">
      <alignment horizontal="right"/>
    </xf>
    <xf numFmtId="0" fontId="4" fillId="15" borderId="0" xfId="0" applyFont="1" applyFill="1" applyBorder="1"/>
    <xf numFmtId="0" fontId="0" fillId="15" borderId="8" xfId="0" applyFill="1" applyBorder="1"/>
    <xf numFmtId="0" fontId="0" fillId="15" borderId="9" xfId="0" applyFill="1" applyBorder="1"/>
    <xf numFmtId="0" fontId="2" fillId="15" borderId="8" xfId="0" applyFont="1" applyFill="1" applyBorder="1" applyAlignment="1">
      <alignment horizontal="right"/>
    </xf>
    <xf numFmtId="164" fontId="0" fillId="15" borderId="8" xfId="0" applyNumberFormat="1" applyFill="1" applyBorder="1"/>
    <xf numFmtId="164" fontId="0" fillId="15" borderId="0" xfId="0" applyNumberFormat="1" applyFill="1" applyBorder="1"/>
    <xf numFmtId="0" fontId="4" fillId="15" borderId="0" xfId="0" applyFont="1" applyFill="1" applyBorder="1" applyAlignment="1">
      <alignment horizontal="right"/>
    </xf>
    <xf numFmtId="0" fontId="0" fillId="15" borderId="0" xfId="0" applyFont="1" applyFill="1" applyBorder="1" applyAlignment="1">
      <alignment horizontal="left"/>
    </xf>
    <xf numFmtId="164" fontId="3" fillId="15" borderId="0" xfId="3" applyNumberFormat="1" applyFill="1" applyBorder="1"/>
    <xf numFmtId="0" fontId="0" fillId="15" borderId="0" xfId="0" applyFill="1" applyBorder="1" applyAlignment="1">
      <alignment horizontal="right"/>
    </xf>
    <xf numFmtId="0" fontId="0" fillId="15" borderId="0" xfId="0" applyFont="1" applyFill="1" applyBorder="1" applyAlignment="1">
      <alignment horizontal="right"/>
    </xf>
    <xf numFmtId="0" fontId="2" fillId="15" borderId="10" xfId="0" applyFont="1" applyFill="1" applyBorder="1"/>
    <xf numFmtId="6" fontId="0" fillId="0" borderId="0" xfId="0" applyNumberFormat="1" applyFont="1" applyFill="1" applyBorder="1" applyAlignment="1">
      <alignment horizontal="center"/>
    </xf>
    <xf numFmtId="0" fontId="0" fillId="0" borderId="0" xfId="0" applyFill="1"/>
    <xf numFmtId="0" fontId="0" fillId="0" borderId="3" xfId="0" applyFill="1" applyBorder="1"/>
    <xf numFmtId="0" fontId="0" fillId="14" borderId="4" xfId="0" applyFont="1" applyFill="1" applyBorder="1" applyAlignment="1">
      <alignment horizontal="center"/>
    </xf>
    <xf numFmtId="6" fontId="0" fillId="14" borderId="2" xfId="0" applyNumberFormat="1" applyFont="1" applyFill="1" applyBorder="1" applyAlignment="1">
      <alignment horizontal="center"/>
    </xf>
    <xf numFmtId="6" fontId="0" fillId="2" borderId="7" xfId="0" applyNumberFormat="1" applyFill="1" applyBorder="1" applyAlignment="1"/>
    <xf numFmtId="6" fontId="0" fillId="2" borderId="8" xfId="0" applyNumberFormat="1" applyFill="1" applyBorder="1" applyAlignment="1"/>
    <xf numFmtId="6" fontId="0" fillId="0" borderId="13" xfId="0" applyNumberFormat="1" applyFill="1" applyBorder="1" applyAlignment="1"/>
    <xf numFmtId="6" fontId="0" fillId="0" borderId="0" xfId="0" applyNumberFormat="1" applyFill="1" applyAlignment="1">
      <alignment horizontal="center"/>
    </xf>
    <xf numFmtId="6" fontId="0" fillId="2" borderId="5" xfId="0" applyNumberFormat="1" applyFill="1" applyBorder="1" applyAlignment="1">
      <alignment horizontal="center"/>
    </xf>
    <xf numFmtId="6" fontId="0" fillId="8" borderId="16" xfId="0" applyNumberFormat="1" applyFill="1" applyBorder="1" applyAlignment="1">
      <alignment horizontal="center"/>
    </xf>
    <xf numFmtId="6" fontId="0" fillId="16" borderId="5" xfId="0" applyNumberFormat="1" applyFill="1" applyBorder="1" applyAlignment="1">
      <alignment horizontal="center"/>
    </xf>
    <xf numFmtId="6" fontId="0" fillId="16" borderId="16" xfId="0" applyNumberFormat="1" applyFill="1" applyBorder="1" applyAlignment="1">
      <alignment horizontal="center"/>
    </xf>
    <xf numFmtId="6" fontId="0" fillId="17" borderId="4" xfId="0" applyNumberFormat="1" applyFill="1" applyBorder="1" applyAlignment="1">
      <alignment horizontal="center"/>
    </xf>
    <xf numFmtId="6" fontId="13" fillId="17" borderId="16" xfId="0" applyNumberFormat="1" applyFont="1" applyFill="1" applyBorder="1" applyAlignment="1">
      <alignment horizontal="center"/>
    </xf>
    <xf numFmtId="6" fontId="0" fillId="17" borderId="16" xfId="0" applyNumberFormat="1" applyFill="1" applyBorder="1" applyAlignment="1">
      <alignment horizontal="center"/>
    </xf>
    <xf numFmtId="6" fontId="2" fillId="17" borderId="4" xfId="0" applyNumberFormat="1" applyFont="1" applyFill="1" applyBorder="1" applyAlignment="1">
      <alignment horizontal="center"/>
    </xf>
    <xf numFmtId="6" fontId="0" fillId="17" borderId="10" xfId="0" applyNumberFormat="1" applyFill="1" applyBorder="1" applyAlignment="1">
      <alignment horizontal="center"/>
    </xf>
    <xf numFmtId="6" fontId="0" fillId="17" borderId="5" xfId="0" applyNumberFormat="1" applyFill="1" applyBorder="1" applyAlignment="1">
      <alignment horizontal="center"/>
    </xf>
    <xf numFmtId="6" fontId="0" fillId="3" borderId="4" xfId="0" applyNumberFormat="1" applyFill="1" applyBorder="1" applyAlignment="1">
      <alignment horizontal="center"/>
    </xf>
    <xf numFmtId="6" fontId="6" fillId="18" borderId="1" xfId="0" applyNumberFormat="1" applyFont="1" applyFill="1" applyBorder="1" applyAlignment="1">
      <alignment horizontal="center"/>
    </xf>
    <xf numFmtId="0" fontId="0" fillId="8" borderId="5" xfId="0" applyNumberFormat="1" applyFill="1" applyBorder="1" applyAlignment="1">
      <alignment horizontal="center"/>
    </xf>
    <xf numFmtId="0" fontId="0" fillId="8" borderId="13" xfId="0" applyNumberFormat="1" applyFill="1" applyBorder="1" applyAlignment="1">
      <alignment horizontal="center"/>
    </xf>
    <xf numFmtId="6" fontId="0" fillId="12" borderId="4" xfId="0" applyNumberFormat="1" applyFill="1" applyBorder="1" applyAlignment="1">
      <alignment horizontal="center"/>
    </xf>
    <xf numFmtId="6" fontId="0" fillId="12" borderId="5" xfId="0" applyNumberFormat="1" applyFill="1" applyBorder="1" applyAlignment="1">
      <alignment horizontal="center"/>
    </xf>
    <xf numFmtId="0" fontId="0" fillId="17" borderId="4" xfId="0" applyNumberFormat="1" applyFill="1" applyBorder="1" applyAlignment="1">
      <alignment horizontal="center"/>
    </xf>
    <xf numFmtId="6" fontId="0" fillId="5" borderId="5" xfId="0" applyNumberFormat="1" applyFont="1" applyFill="1" applyBorder="1" applyAlignment="1">
      <alignment horizontal="center"/>
    </xf>
    <xf numFmtId="6" fontId="0" fillId="5" borderId="16" xfId="0" applyNumberFormat="1" applyFont="1" applyFill="1" applyBorder="1" applyAlignment="1">
      <alignment horizontal="center"/>
    </xf>
    <xf numFmtId="6" fontId="0" fillId="5" borderId="4" xfId="0" applyNumberFormat="1" applyFont="1" applyFill="1" applyBorder="1" applyAlignment="1">
      <alignment horizontal="center"/>
    </xf>
    <xf numFmtId="0" fontId="14" fillId="0" borderId="0" xfId="3" applyFont="1"/>
    <xf numFmtId="0" fontId="0" fillId="15" borderId="0" xfId="0" applyFill="1"/>
    <xf numFmtId="6" fontId="6" fillId="0" borderId="0" xfId="0" applyNumberFormat="1" applyFont="1" applyFill="1" applyBorder="1" applyAlignment="1">
      <alignment horizontal="center"/>
    </xf>
    <xf numFmtId="6" fontId="0" fillId="7" borderId="5" xfId="0" applyNumberFormat="1" applyFill="1" applyBorder="1"/>
    <xf numFmtId="6" fontId="2" fillId="9" borderId="17" xfId="0" applyNumberFormat="1" applyFont="1" applyFill="1" applyBorder="1" applyAlignment="1">
      <alignment horizontal="center"/>
    </xf>
    <xf numFmtId="0" fontId="3" fillId="15" borderId="0" xfId="3" applyFill="1"/>
    <xf numFmtId="6" fontId="0" fillId="4" borderId="9" xfId="0" applyNumberFormat="1" applyFill="1" applyBorder="1"/>
    <xf numFmtId="6" fontId="0" fillId="7" borderId="4" xfId="0" applyNumberFormat="1" applyFont="1" applyFill="1" applyBorder="1" applyAlignment="1">
      <alignment horizontal="center"/>
    </xf>
    <xf numFmtId="6" fontId="0" fillId="6" borderId="4" xfId="0" applyNumberFormat="1" applyFill="1" applyBorder="1" applyAlignment="1">
      <alignment horizontal="center"/>
    </xf>
    <xf numFmtId="6" fontId="8" fillId="6" borderId="16" xfId="0" applyNumberFormat="1" applyFont="1" applyFill="1" applyBorder="1" applyAlignment="1">
      <alignment horizontal="center"/>
    </xf>
    <xf numFmtId="0" fontId="4" fillId="15" borderId="0" xfId="0" applyFont="1" applyFill="1" applyBorder="1" applyAlignment="1">
      <alignment horizontal="left"/>
    </xf>
    <xf numFmtId="6" fontId="0" fillId="0" borderId="0" xfId="0" applyNumberFormat="1" applyFill="1" applyBorder="1" applyAlignment="1"/>
    <xf numFmtId="6" fontId="8" fillId="0" borderId="0" xfId="0" applyNumberFormat="1" applyFont="1" applyFill="1" applyBorder="1" applyAlignment="1">
      <alignment horizontal="center"/>
    </xf>
    <xf numFmtId="0" fontId="4" fillId="0" borderId="0" xfId="0" applyFont="1" applyBorder="1" applyAlignment="1">
      <alignment vertical="center"/>
    </xf>
    <xf numFmtId="0" fontId="3" fillId="0" borderId="0" xfId="3" applyBorder="1" applyAlignment="1">
      <alignment vertical="center"/>
    </xf>
    <xf numFmtId="6" fontId="0" fillId="6" borderId="16" xfId="0" applyNumberFormat="1" applyFont="1" applyFill="1" applyBorder="1" applyAlignment="1">
      <alignment horizontal="center"/>
    </xf>
    <xf numFmtId="170" fontId="4" fillId="0" borderId="0" xfId="3" applyNumberFormat="1" applyFont="1" applyFill="1" applyBorder="1"/>
    <xf numFmtId="10" fontId="4" fillId="0" borderId="0" xfId="0" applyNumberFormat="1" applyFont="1" applyFill="1" applyBorder="1" applyAlignment="1">
      <alignment horizontal="left"/>
    </xf>
    <xf numFmtId="6" fontId="2" fillId="0" borderId="0" xfId="0" applyNumberFormat="1" applyFont="1" applyFill="1" applyBorder="1" applyAlignment="1">
      <alignment horizontal="center"/>
    </xf>
    <xf numFmtId="6" fontId="0" fillId="0" borderId="5" xfId="0" applyNumberFormat="1" applyFill="1" applyBorder="1" applyAlignment="1">
      <alignment horizontal="center"/>
    </xf>
    <xf numFmtId="6" fontId="0" fillId="6" borderId="14" xfId="0" quotePrefix="1" applyNumberFormat="1" applyFont="1" applyFill="1" applyBorder="1" applyAlignment="1">
      <alignment horizontal="center"/>
    </xf>
    <xf numFmtId="0" fontId="0" fillId="0" borderId="10" xfId="0" applyBorder="1" applyAlignment="1">
      <alignment horizontal="right"/>
    </xf>
    <xf numFmtId="6" fontId="0" fillId="6" borderId="5" xfId="0" applyNumberFormat="1" applyFill="1" applyBorder="1" applyAlignment="1">
      <alignment horizontal="center"/>
    </xf>
    <xf numFmtId="0" fontId="4" fillId="0" borderId="0" xfId="0" applyFont="1" applyAlignment="1">
      <alignment vertical="center"/>
    </xf>
    <xf numFmtId="0" fontId="0" fillId="0" borderId="0" xfId="0" applyAlignment="1">
      <alignment vertical="center"/>
    </xf>
    <xf numFmtId="0" fontId="4" fillId="0" borderId="0" xfId="3" applyFont="1" applyFill="1" applyBorder="1"/>
    <xf numFmtId="169" fontId="4" fillId="0" borderId="0" xfId="1" applyNumberFormat="1" applyFont="1" applyFill="1" applyBorder="1"/>
    <xf numFmtId="0" fontId="4" fillId="0" borderId="0" xfId="2" applyNumberFormat="1" applyFont="1" applyFill="1" applyBorder="1"/>
    <xf numFmtId="10" fontId="4" fillId="0" borderId="0" xfId="2" applyNumberFormat="1" applyFont="1" applyFill="1" applyBorder="1"/>
    <xf numFmtId="0" fontId="4" fillId="0" borderId="6" xfId="0" applyFont="1" applyFill="1" applyBorder="1"/>
    <xf numFmtId="0" fontId="4" fillId="0" borderId="10" xfId="0" applyFont="1" applyFill="1" applyBorder="1"/>
    <xf numFmtId="0" fontId="4" fillId="0" borderId="0" xfId="2" applyNumberFormat="1" applyFont="1" applyFill="1" applyBorder="1" applyAlignment="1">
      <alignment horizontal="right"/>
    </xf>
    <xf numFmtId="10" fontId="9" fillId="0" borderId="0" xfId="2" applyNumberFormat="1" applyFont="1" applyFill="1" applyBorder="1"/>
    <xf numFmtId="164" fontId="4" fillId="15" borderId="0" xfId="1" applyNumberFormat="1" applyFont="1" applyFill="1" applyBorder="1" applyAlignment="1">
      <alignment horizontal="center"/>
    </xf>
    <xf numFmtId="0" fontId="2" fillId="15" borderId="0" xfId="0" applyFont="1" applyFill="1" applyAlignment="1">
      <alignment horizontal="right"/>
    </xf>
    <xf numFmtId="6" fontId="0" fillId="15" borderId="0" xfId="0" applyNumberFormat="1" applyFill="1" applyBorder="1"/>
    <xf numFmtId="0" fontId="3" fillId="15" borderId="0" xfId="3" applyFill="1" applyBorder="1"/>
    <xf numFmtId="0" fontId="5" fillId="15" borderId="7" xfId="0" applyFont="1" applyFill="1" applyBorder="1"/>
    <xf numFmtId="0" fontId="0" fillId="15" borderId="0" xfId="0" applyFont="1" applyFill="1" applyBorder="1"/>
    <xf numFmtId="0" fontId="0" fillId="15" borderId="13" xfId="0" applyFont="1" applyFill="1" applyBorder="1"/>
    <xf numFmtId="0" fontId="0" fillId="0" borderId="0" xfId="0" applyFont="1" applyFill="1" applyBorder="1"/>
    <xf numFmtId="0" fontId="0" fillId="15" borderId="10" xfId="0" applyFont="1" applyFill="1" applyBorder="1"/>
    <xf numFmtId="164" fontId="0" fillId="15" borderId="0" xfId="0" applyNumberFormat="1" applyFont="1" applyFill="1" applyBorder="1"/>
    <xf numFmtId="6" fontId="0" fillId="0" borderId="10" xfId="0" applyNumberFormat="1" applyFill="1" applyBorder="1" applyAlignment="1">
      <alignment horizontal="center"/>
    </xf>
    <xf numFmtId="6" fontId="0" fillId="0" borderId="13" xfId="0" applyNumberFormat="1" applyFill="1" applyBorder="1" applyAlignment="1">
      <alignment horizontal="center"/>
    </xf>
    <xf numFmtId="6" fontId="2" fillId="0" borderId="5" xfId="0" applyNumberFormat="1" applyFont="1" applyFill="1" applyBorder="1" applyAlignment="1">
      <alignment horizontal="center"/>
    </xf>
    <xf numFmtId="6" fontId="0" fillId="12" borderId="16" xfId="0" applyNumberFormat="1" applyFill="1" applyBorder="1" applyAlignment="1">
      <alignment horizontal="center"/>
    </xf>
    <xf numFmtId="164" fontId="6" fillId="0" borderId="0" xfId="1" applyNumberFormat="1" applyFont="1" applyFill="1" applyBorder="1" applyAlignment="1">
      <alignment horizontal="center"/>
    </xf>
    <xf numFmtId="0" fontId="0" fillId="0" borderId="5" xfId="0" applyNumberFormat="1" applyFill="1" applyBorder="1" applyAlignment="1">
      <alignment horizontal="center"/>
    </xf>
    <xf numFmtId="6" fontId="0" fillId="9" borderId="5" xfId="0" applyNumberFormat="1" applyFill="1" applyBorder="1"/>
    <xf numFmtId="6" fontId="0" fillId="9" borderId="13" xfId="0" applyNumberFormat="1" applyFill="1" applyBorder="1"/>
    <xf numFmtId="6" fontId="0" fillId="9" borderId="5" xfId="0" applyNumberFormat="1" applyFill="1" applyBorder="1" applyAlignment="1">
      <alignment horizontal="center"/>
    </xf>
    <xf numFmtId="6" fontId="0" fillId="9" borderId="2" xfId="0" applyNumberFormat="1" applyFill="1" applyBorder="1"/>
    <xf numFmtId="6" fontId="0" fillId="17" borderId="9" xfId="0" applyNumberFormat="1" applyFill="1" applyBorder="1" applyAlignment="1">
      <alignment horizontal="center"/>
    </xf>
    <xf numFmtId="6" fontId="0" fillId="7" borderId="10" xfId="0" applyNumberFormat="1" applyFill="1" applyBorder="1" applyAlignment="1">
      <alignment horizontal="center"/>
    </xf>
    <xf numFmtId="6" fontId="0" fillId="0" borderId="23" xfId="0" applyNumberFormat="1" applyBorder="1"/>
    <xf numFmtId="6" fontId="0" fillId="0" borderId="24" xfId="0" applyNumberFormat="1" applyBorder="1"/>
    <xf numFmtId="6" fontId="0" fillId="0" borderId="3" xfId="0" applyNumberFormat="1" applyBorder="1"/>
    <xf numFmtId="6" fontId="0" fillId="0" borderId="7" xfId="0" applyNumberFormat="1" applyFill="1" applyBorder="1"/>
    <xf numFmtId="6" fontId="0" fillId="0" borderId="9" xfId="0" applyNumberFormat="1" applyFill="1" applyBorder="1"/>
    <xf numFmtId="6" fontId="0" fillId="0" borderId="4" xfId="0" applyNumberFormat="1" applyFill="1" applyBorder="1"/>
    <xf numFmtId="6" fontId="2" fillId="3" borderId="4" xfId="0" applyNumberFormat="1" applyFont="1" applyFill="1" applyBorder="1" applyAlignment="1">
      <alignment horizontal="center"/>
    </xf>
    <xf numFmtId="6" fontId="0" fillId="0" borderId="10" xfId="0" applyNumberFormat="1" applyBorder="1" applyAlignment="1">
      <alignment horizontal="center"/>
    </xf>
    <xf numFmtId="6" fontId="2" fillId="0" borderId="13" xfId="0" applyNumberFormat="1" applyFont="1" applyBorder="1" applyAlignment="1">
      <alignment horizontal="center"/>
    </xf>
    <xf numFmtId="6" fontId="0" fillId="0" borderId="0" xfId="0" applyNumberFormat="1" applyBorder="1" applyAlignment="1">
      <alignment horizontal="center"/>
    </xf>
    <xf numFmtId="6" fontId="8" fillId="0" borderId="5" xfId="0" applyNumberFormat="1" applyFont="1" applyFill="1" applyBorder="1" applyAlignment="1">
      <alignment horizontal="center"/>
    </xf>
    <xf numFmtId="164" fontId="0" fillId="15" borderId="0" xfId="1" applyNumberFormat="1" applyFont="1" applyFill="1" applyBorder="1"/>
    <xf numFmtId="164" fontId="0" fillId="15" borderId="6" xfId="1" applyNumberFormat="1" applyFont="1" applyFill="1" applyBorder="1"/>
    <xf numFmtId="6" fontId="0" fillId="0" borderId="10" xfId="0" applyNumberFormat="1" applyBorder="1"/>
    <xf numFmtId="8" fontId="4" fillId="0" borderId="0" xfId="0" applyNumberFormat="1" applyFont="1" applyFill="1" applyBorder="1" applyAlignment="1">
      <alignment horizontal="right"/>
    </xf>
    <xf numFmtId="6" fontId="0" fillId="6" borderId="16" xfId="0" quotePrefix="1" applyNumberFormat="1" applyFont="1" applyFill="1" applyBorder="1" applyAlignment="1">
      <alignment horizontal="center"/>
    </xf>
    <xf numFmtId="0" fontId="6" fillId="19" borderId="0" xfId="0" applyFont="1" applyFill="1" applyAlignment="1"/>
    <xf numFmtId="0" fontId="6" fillId="19" borderId="0" xfId="0" applyFont="1" applyFill="1" applyAlignment="1">
      <alignment horizontal="left"/>
    </xf>
    <xf numFmtId="0" fontId="0" fillId="20" borderId="0" xfId="0" applyFill="1"/>
    <xf numFmtId="0" fontId="6" fillId="10" borderId="0" xfId="0" applyFont="1" applyFill="1" applyAlignment="1"/>
    <xf numFmtId="6" fontId="0" fillId="10" borderId="0" xfId="0" applyNumberFormat="1" applyFill="1" applyBorder="1" applyAlignment="1"/>
    <xf numFmtId="0" fontId="0" fillId="0" borderId="0" xfId="0" applyProtection="1">
      <protection locked="0"/>
    </xf>
    <xf numFmtId="0" fontId="0" fillId="0" borderId="0" xfId="0" applyBorder="1" applyProtection="1">
      <protection locked="0"/>
    </xf>
    <xf numFmtId="0" fontId="0" fillId="15" borderId="8" xfId="0" applyFill="1" applyBorder="1" applyProtection="1">
      <protection locked="0"/>
    </xf>
    <xf numFmtId="0" fontId="0" fillId="15" borderId="0" xfId="0" applyFill="1" applyBorder="1" applyProtection="1">
      <protection locked="0"/>
    </xf>
    <xf numFmtId="0" fontId="6" fillId="10" borderId="0" xfId="0" applyFont="1" applyFill="1" applyBorder="1" applyAlignment="1" applyProtection="1">
      <alignment horizontal="center"/>
      <protection locked="0"/>
    </xf>
    <xf numFmtId="0" fontId="0" fillId="15" borderId="0" xfId="0" applyFill="1" applyBorder="1" applyAlignment="1" applyProtection="1">
      <alignment horizontal="center"/>
      <protection locked="0"/>
    </xf>
    <xf numFmtId="0" fontId="6" fillId="15" borderId="0" xfId="0" applyFont="1" applyFill="1" applyBorder="1" applyAlignment="1" applyProtection="1">
      <alignment horizontal="center"/>
      <protection locked="0"/>
    </xf>
    <xf numFmtId="0" fontId="0" fillId="15" borderId="6" xfId="0" applyFill="1" applyBorder="1" applyProtection="1">
      <protection locked="0"/>
    </xf>
    <xf numFmtId="0" fontId="0" fillId="0" borderId="0" xfId="0" applyFill="1" applyBorder="1" applyProtection="1">
      <protection locked="0"/>
    </xf>
    <xf numFmtId="0" fontId="6" fillId="15" borderId="8" xfId="0" applyFont="1" applyFill="1" applyBorder="1" applyProtection="1">
      <protection locked="0"/>
    </xf>
    <xf numFmtId="0" fontId="12" fillId="15" borderId="0" xfId="0" applyFont="1" applyFill="1" applyBorder="1" applyProtection="1">
      <protection locked="0"/>
    </xf>
    <xf numFmtId="0" fontId="6" fillId="15" borderId="0" xfId="0" applyFont="1" applyFill="1" applyBorder="1" applyProtection="1">
      <protection locked="0"/>
    </xf>
    <xf numFmtId="164" fontId="6" fillId="10" borderId="0" xfId="1" applyNumberFormat="1" applyFont="1" applyFill="1" applyBorder="1" applyProtection="1">
      <protection locked="0"/>
    </xf>
    <xf numFmtId="164" fontId="6" fillId="15" borderId="0" xfId="1" applyNumberFormat="1" applyFont="1" applyFill="1" applyBorder="1" applyProtection="1">
      <protection locked="0"/>
    </xf>
    <xf numFmtId="164" fontId="6" fillId="15" borderId="6" xfId="1" applyNumberFormat="1" applyFont="1" applyFill="1" applyBorder="1" applyProtection="1">
      <protection locked="0"/>
    </xf>
    <xf numFmtId="164" fontId="6" fillId="0" borderId="0" xfId="1" applyNumberFormat="1" applyFont="1" applyFill="1" applyBorder="1" applyProtection="1">
      <protection locked="0"/>
    </xf>
    <xf numFmtId="164" fontId="6" fillId="15" borderId="8" xfId="1" applyNumberFormat="1" applyFont="1" applyFill="1" applyBorder="1" applyProtection="1">
      <protection locked="0"/>
    </xf>
    <xf numFmtId="0" fontId="0" fillId="15" borderId="0" xfId="0" applyFont="1" applyFill="1" applyBorder="1" applyProtection="1">
      <protection locked="0"/>
    </xf>
    <xf numFmtId="164" fontId="12" fillId="15" borderId="0" xfId="1" applyNumberFormat="1" applyFont="1" applyFill="1" applyBorder="1" applyProtection="1">
      <protection locked="0"/>
    </xf>
    <xf numFmtId="0" fontId="4" fillId="15" borderId="0" xfId="1" applyNumberFormat="1" applyFont="1" applyFill="1" applyBorder="1" applyProtection="1">
      <protection locked="0"/>
    </xf>
    <xf numFmtId="164" fontId="4" fillId="15" borderId="0" xfId="1" applyNumberFormat="1" applyFont="1" applyFill="1" applyBorder="1" applyProtection="1">
      <protection locked="0"/>
    </xf>
    <xf numFmtId="164" fontId="3" fillId="15" borderId="0" xfId="3" applyNumberFormat="1" applyFill="1" applyBorder="1" applyProtection="1">
      <protection locked="0"/>
    </xf>
    <xf numFmtId="164" fontId="6" fillId="15" borderId="0" xfId="3" applyNumberFormat="1" applyFont="1" applyFill="1" applyBorder="1" applyProtection="1">
      <protection locked="0"/>
    </xf>
    <xf numFmtId="164" fontId="4" fillId="15" borderId="0" xfId="3" applyNumberFormat="1" applyFont="1" applyFill="1" applyBorder="1" applyProtection="1">
      <protection locked="0"/>
    </xf>
    <xf numFmtId="165" fontId="6" fillId="10" borderId="1" xfId="2" applyNumberFormat="1" applyFont="1" applyFill="1" applyBorder="1" applyAlignment="1" applyProtection="1">
      <alignment horizontal="center"/>
      <protection locked="0"/>
    </xf>
    <xf numFmtId="6" fontId="6" fillId="10" borderId="2" xfId="0" applyNumberFormat="1" applyFont="1" applyFill="1" applyBorder="1" applyProtection="1">
      <protection locked="0"/>
    </xf>
    <xf numFmtId="6" fontId="6" fillId="0" borderId="2" xfId="0" applyNumberFormat="1" applyFont="1" applyFill="1" applyBorder="1" applyProtection="1">
      <protection locked="0"/>
    </xf>
    <xf numFmtId="164" fontId="6" fillId="10" borderId="2" xfId="1" applyNumberFormat="1" applyFont="1" applyFill="1" applyBorder="1" applyAlignment="1" applyProtection="1">
      <alignment horizontal="center"/>
      <protection locked="0"/>
    </xf>
    <xf numFmtId="164" fontId="6" fillId="10" borderId="0" xfId="1" applyNumberFormat="1" applyFont="1" applyFill="1" applyBorder="1" applyAlignment="1" applyProtection="1">
      <alignment horizontal="center"/>
      <protection locked="0"/>
    </xf>
    <xf numFmtId="6" fontId="0" fillId="0" borderId="0" xfId="0" applyNumberFormat="1" applyProtection="1">
      <protection locked="0"/>
    </xf>
    <xf numFmtId="6" fontId="0" fillId="0" borderId="0" xfId="0" applyNumberFormat="1" applyFill="1" applyProtection="1">
      <protection locked="0"/>
    </xf>
    <xf numFmtId="0" fontId="6" fillId="10" borderId="0" xfId="0" applyFont="1" applyFill="1" applyProtection="1">
      <protection locked="0"/>
    </xf>
    <xf numFmtId="168" fontId="6" fillId="10" borderId="0" xfId="0" applyNumberFormat="1" applyFont="1" applyFill="1" applyProtection="1">
      <protection locked="0"/>
    </xf>
    <xf numFmtId="0" fontId="6" fillId="10" borderId="0" xfId="0" applyNumberFormat="1" applyFont="1" applyFill="1" applyProtection="1">
      <protection locked="0"/>
    </xf>
    <xf numFmtId="1" fontId="6" fillId="10" borderId="0" xfId="0" applyNumberFormat="1" applyFont="1" applyFill="1" applyProtection="1">
      <protection locked="0"/>
    </xf>
    <xf numFmtId="167" fontId="6" fillId="10" borderId="0" xfId="0" applyNumberFormat="1" applyFont="1" applyFill="1" applyProtection="1">
      <protection locked="0"/>
    </xf>
    <xf numFmtId="9" fontId="6" fillId="10" borderId="0" xfId="2" applyFont="1" applyFill="1" applyProtection="1">
      <protection locked="0"/>
    </xf>
    <xf numFmtId="166" fontId="6" fillId="10" borderId="0" xfId="2" applyNumberFormat="1" applyFont="1" applyFill="1" applyProtection="1">
      <protection locked="0"/>
    </xf>
    <xf numFmtId="165" fontId="6" fillId="10" borderId="0" xfId="2" applyNumberFormat="1" applyFont="1" applyFill="1" applyProtection="1">
      <protection locked="0"/>
    </xf>
    <xf numFmtId="0" fontId="6" fillId="10" borderId="0" xfId="2" applyNumberFormat="1" applyFont="1" applyFill="1" applyProtection="1">
      <protection locked="0"/>
    </xf>
    <xf numFmtId="164" fontId="6" fillId="10" borderId="0" xfId="1" applyNumberFormat="1" applyFont="1" applyFill="1" applyProtection="1">
      <protection locked="0"/>
    </xf>
    <xf numFmtId="9" fontId="6" fillId="10" borderId="0" xfId="2" applyFont="1" applyFill="1" applyBorder="1" applyProtection="1">
      <protection locked="0"/>
    </xf>
    <xf numFmtId="170" fontId="6" fillId="10" borderId="0" xfId="3" applyNumberFormat="1" applyFont="1" applyFill="1" applyBorder="1" applyProtection="1">
      <protection locked="0"/>
    </xf>
    <xf numFmtId="170" fontId="6" fillId="10" borderId="0" xfId="1" applyNumberFormat="1" applyFont="1" applyFill="1" applyBorder="1" applyProtection="1">
      <protection locked="0"/>
    </xf>
    <xf numFmtId="170" fontId="6" fillId="10" borderId="0" xfId="0" applyNumberFormat="1" applyFont="1" applyFill="1" applyBorder="1" applyProtection="1">
      <protection locked="0"/>
    </xf>
    <xf numFmtId="10" fontId="6" fillId="10" borderId="0" xfId="2" applyNumberFormat="1" applyFont="1" applyFill="1" applyBorder="1" applyProtection="1">
      <protection locked="0"/>
    </xf>
    <xf numFmtId="6" fontId="0" fillId="15" borderId="0" xfId="0" applyNumberFormat="1" applyFill="1" applyAlignment="1">
      <alignment horizontal="right"/>
    </xf>
    <xf numFmtId="165" fontId="6" fillId="10" borderId="25" xfId="2" applyNumberFormat="1" applyFont="1" applyFill="1" applyBorder="1" applyAlignment="1" applyProtection="1">
      <alignment horizontal="center"/>
      <protection locked="0"/>
    </xf>
    <xf numFmtId="6" fontId="17" fillId="21" borderId="1" xfId="0" applyNumberFormat="1" applyFont="1" applyFill="1" applyBorder="1" applyAlignment="1">
      <alignment horizontal="center"/>
    </xf>
    <xf numFmtId="0" fontId="6" fillId="10" borderId="1" xfId="0" applyFont="1" applyFill="1" applyBorder="1" applyAlignment="1" applyProtection="1">
      <alignment horizontal="center"/>
      <protection locked="0"/>
    </xf>
    <xf numFmtId="6" fontId="17" fillId="11" borderId="1" xfId="0" applyNumberFormat="1" applyFont="1" applyFill="1" applyBorder="1" applyAlignment="1">
      <alignment horizontal="center"/>
    </xf>
    <xf numFmtId="6" fontId="6" fillId="10" borderId="1" xfId="0" applyNumberFormat="1" applyFont="1" applyFill="1" applyBorder="1" applyAlignment="1" applyProtection="1">
      <alignment horizontal="center"/>
      <protection locked="0"/>
    </xf>
    <xf numFmtId="6" fontId="13" fillId="0" borderId="0" xfId="0" applyNumberFormat="1" applyFont="1" applyAlignment="1">
      <alignment horizontal="left"/>
    </xf>
    <xf numFmtId="6" fontId="13" fillId="0" borderId="0" xfId="0" applyNumberFormat="1" applyFont="1"/>
    <xf numFmtId="6" fontId="13" fillId="0" borderId="10" xfId="0" applyNumberFormat="1" applyFont="1" applyBorder="1" applyAlignment="1">
      <alignment horizontal="left"/>
    </xf>
    <xf numFmtId="164" fontId="13" fillId="0" borderId="0" xfId="0" applyNumberFormat="1" applyFont="1"/>
    <xf numFmtId="164" fontId="18" fillId="0" borderId="0" xfId="1" applyNumberFormat="1" applyFont="1" applyFill="1" applyAlignment="1">
      <alignment horizontal="left"/>
    </xf>
    <xf numFmtId="1" fontId="0" fillId="0" borderId="0" xfId="0" applyNumberFormat="1" applyAlignment="1">
      <alignment horizontal="center"/>
    </xf>
    <xf numFmtId="6" fontId="0" fillId="0" borderId="0" xfId="0" applyNumberFormat="1" applyAlignment="1">
      <alignment vertical="center"/>
    </xf>
    <xf numFmtId="0" fontId="0" fillId="0" borderId="0" xfId="0" applyFill="1" applyBorder="1" applyAlignment="1">
      <alignment horizontal="left"/>
    </xf>
    <xf numFmtId="6" fontId="0" fillId="0" borderId="0" xfId="0" applyNumberFormat="1" applyAlignment="1">
      <alignment horizontal="left"/>
    </xf>
    <xf numFmtId="6" fontId="13" fillId="0" borderId="15" xfId="0" applyNumberFormat="1" applyFont="1" applyBorder="1" applyAlignment="1">
      <alignment horizontal="left"/>
    </xf>
    <xf numFmtId="14" fontId="0" fillId="0" borderId="0" xfId="0" applyNumberFormat="1" applyAlignment="1">
      <alignment horizontal="left"/>
    </xf>
    <xf numFmtId="0" fontId="0" fillId="0" borderId="0" xfId="0" applyAlignment="1">
      <alignment horizontal="left"/>
    </xf>
    <xf numFmtId="0" fontId="6" fillId="10" borderId="25" xfId="0" applyFont="1" applyFill="1" applyBorder="1" applyAlignment="1" applyProtection="1">
      <alignment horizontal="center"/>
      <protection locked="0"/>
    </xf>
    <xf numFmtId="6" fontId="0" fillId="0" borderId="5" xfId="0" applyNumberFormat="1" applyBorder="1" applyAlignment="1">
      <alignment horizontal="center"/>
    </xf>
    <xf numFmtId="6" fontId="0" fillId="0" borderId="0" xfId="0" applyNumberFormat="1" applyBorder="1"/>
    <xf numFmtId="0" fontId="0" fillId="0" borderId="5" xfId="0" applyNumberFormat="1" applyFill="1" applyBorder="1" applyAlignment="1">
      <alignment horizontal="left"/>
    </xf>
    <xf numFmtId="6" fontId="0" fillId="0" borderId="19" xfId="0" applyNumberFormat="1" applyBorder="1"/>
    <xf numFmtId="6" fontId="0" fillId="0" borderId="20" xfId="0" applyNumberFormat="1" applyBorder="1"/>
    <xf numFmtId="6" fontId="11" fillId="9" borderId="18" xfId="0" applyNumberFormat="1" applyFont="1" applyFill="1" applyBorder="1"/>
    <xf numFmtId="6" fontId="7" fillId="9" borderId="19" xfId="0" applyNumberFormat="1" applyFont="1" applyFill="1" applyBorder="1"/>
    <xf numFmtId="6" fontId="0" fillId="9" borderId="20" xfId="0" applyNumberFormat="1" applyFill="1" applyBorder="1"/>
    <xf numFmtId="6" fontId="7" fillId="9" borderId="21" xfId="0" applyNumberFormat="1" applyFont="1" applyFill="1" applyBorder="1"/>
    <xf numFmtId="6" fontId="7" fillId="9" borderId="15" xfId="0" applyNumberFormat="1" applyFont="1" applyFill="1" applyBorder="1"/>
    <xf numFmtId="0" fontId="7" fillId="9" borderId="15" xfId="0" applyNumberFormat="1" applyFont="1" applyFill="1" applyBorder="1"/>
    <xf numFmtId="6" fontId="0" fillId="9" borderId="22" xfId="0" applyNumberFormat="1" applyFill="1" applyBorder="1"/>
    <xf numFmtId="6" fontId="0" fillId="23" borderId="16" xfId="0" applyNumberFormat="1" applyFill="1" applyBorder="1" applyAlignment="1">
      <alignment horizontal="center"/>
    </xf>
    <xf numFmtId="6" fontId="0" fillId="23" borderId="0" xfId="0" applyNumberFormat="1" applyFill="1" applyProtection="1">
      <protection locked="0"/>
    </xf>
    <xf numFmtId="6" fontId="0" fillId="23" borderId="14" xfId="0" applyNumberFormat="1" applyFill="1" applyBorder="1" applyAlignment="1">
      <alignment horizontal="center"/>
    </xf>
    <xf numFmtId="6" fontId="0" fillId="23" borderId="15" xfId="0" applyNumberFormat="1" applyFill="1" applyBorder="1" applyAlignment="1">
      <alignment horizontal="center"/>
    </xf>
    <xf numFmtId="6" fontId="0" fillId="23" borderId="0" xfId="0" applyNumberFormat="1" applyFill="1" applyBorder="1" applyAlignment="1">
      <alignment horizontal="center"/>
    </xf>
    <xf numFmtId="0" fontId="0" fillId="0" borderId="0" xfId="0" applyAlignment="1"/>
    <xf numFmtId="0" fontId="24" fillId="15" borderId="8" xfId="0" applyFont="1" applyFill="1" applyBorder="1"/>
    <xf numFmtId="0" fontId="24" fillId="15" borderId="0" xfId="0" applyFont="1" applyFill="1" applyBorder="1"/>
    <xf numFmtId="0" fontId="0" fillId="0" borderId="0" xfId="0" applyNumberFormat="1"/>
    <xf numFmtId="0" fontId="13" fillId="0" borderId="0" xfId="0" applyNumberFormat="1" applyFont="1" applyBorder="1" applyAlignment="1"/>
    <xf numFmtId="6" fontId="2" fillId="12" borderId="4" xfId="0" applyNumberFormat="1" applyFont="1" applyFill="1" applyBorder="1"/>
    <xf numFmtId="0" fontId="25" fillId="0" borderId="0" xfId="0" applyFont="1"/>
    <xf numFmtId="0" fontId="25" fillId="0" borderId="0" xfId="0" applyFont="1" applyFill="1" applyBorder="1"/>
    <xf numFmtId="0" fontId="25" fillId="15" borderId="13" xfId="0" applyFont="1" applyFill="1" applyBorder="1"/>
    <xf numFmtId="164" fontId="4" fillId="0" borderId="0" xfId="1" applyNumberFormat="1" applyFont="1" applyFill="1" applyBorder="1" applyAlignment="1">
      <alignment horizontal="center"/>
    </xf>
    <xf numFmtId="0" fontId="26" fillId="25" borderId="0" xfId="0" applyFont="1" applyFill="1"/>
    <xf numFmtId="6" fontId="26" fillId="25" borderId="0" xfId="0" applyNumberFormat="1" applyFont="1" applyFill="1"/>
    <xf numFmtId="165" fontId="26" fillId="25" borderId="0" xfId="0" applyNumberFormat="1" applyFont="1" applyFill="1"/>
    <xf numFmtId="6" fontId="26" fillId="25" borderId="0" xfId="1" applyNumberFormat="1" applyFont="1" applyFill="1"/>
    <xf numFmtId="0" fontId="0" fillId="10" borderId="0" xfId="0" applyFill="1" applyBorder="1" applyAlignment="1" applyProtection="1">
      <alignment horizontal="right"/>
    </xf>
    <xf numFmtId="9" fontId="0" fillId="0" borderId="19" xfId="2" applyFont="1" applyBorder="1" applyAlignment="1">
      <alignment horizontal="left"/>
    </xf>
    <xf numFmtId="6" fontId="0" fillId="15" borderId="0" xfId="0" applyNumberFormat="1" applyFill="1"/>
    <xf numFmtId="0" fontId="6" fillId="15" borderId="0" xfId="1" applyNumberFormat="1" applyFont="1" applyFill="1" applyBorder="1" applyAlignment="1" applyProtection="1">
      <alignment horizontal="center"/>
      <protection locked="0"/>
    </xf>
    <xf numFmtId="0" fontId="6" fillId="15" borderId="0" xfId="3" applyNumberFormat="1" applyFont="1" applyFill="1" applyBorder="1" applyAlignment="1" applyProtection="1">
      <alignment horizontal="center"/>
      <protection locked="0"/>
    </xf>
    <xf numFmtId="165" fontId="6" fillId="15" borderId="0" xfId="2" applyNumberFormat="1" applyFont="1" applyFill="1" applyBorder="1" applyAlignment="1" applyProtection="1">
      <alignment horizontal="center"/>
      <protection locked="0"/>
    </xf>
    <xf numFmtId="0" fontId="27" fillId="15" borderId="0" xfId="0" applyFont="1" applyFill="1" applyBorder="1" applyAlignment="1" applyProtection="1">
      <alignment horizontal="left"/>
      <protection locked="0"/>
    </xf>
    <xf numFmtId="0" fontId="6" fillId="10" borderId="1" xfId="0" applyNumberFormat="1" applyFont="1" applyFill="1" applyBorder="1" applyAlignment="1" applyProtection="1">
      <alignment horizontal="center"/>
      <protection locked="0"/>
    </xf>
    <xf numFmtId="0" fontId="6" fillId="10" borderId="0" xfId="0" applyNumberFormat="1" applyFont="1" applyFill="1" applyAlignment="1" applyProtection="1">
      <alignment horizontal="center"/>
      <protection locked="0"/>
    </xf>
    <xf numFmtId="6" fontId="0" fillId="0" borderId="0" xfId="0" applyNumberFormat="1" applyFill="1" applyProtection="1"/>
    <xf numFmtId="164" fontId="6" fillId="0" borderId="0" xfId="1" applyNumberFormat="1" applyFont="1" applyFill="1" applyBorder="1" applyProtection="1"/>
    <xf numFmtId="0" fontId="4" fillId="0" borderId="0" xfId="0" applyFont="1" applyBorder="1" applyAlignment="1">
      <alignment horizontal="left" vertical="center"/>
    </xf>
    <xf numFmtId="0" fontId="21" fillId="24" borderId="0" xfId="0" applyFont="1" applyFill="1" applyAlignment="1">
      <alignment horizontal="center" vertical="center"/>
    </xf>
    <xf numFmtId="0" fontId="19" fillId="22" borderId="0" xfId="0" applyFont="1" applyFill="1" applyAlignment="1">
      <alignment horizontal="center" vertical="center"/>
    </xf>
    <xf numFmtId="0" fontId="0" fillId="0" borderId="0" xfId="0" applyAlignment="1">
      <alignment horizontal="left"/>
    </xf>
    <xf numFmtId="6" fontId="0" fillId="0" borderId="1" xfId="0" applyNumberFormat="1" applyBorder="1" applyAlignment="1">
      <alignment horizontal="center"/>
    </xf>
    <xf numFmtId="6" fontId="2" fillId="9" borderId="7" xfId="0" applyNumberFormat="1" applyFont="1" applyFill="1" applyBorder="1" applyAlignment="1">
      <alignment horizontal="center"/>
    </xf>
    <xf numFmtId="6" fontId="2" fillId="9" borderId="8" xfId="0" applyNumberFormat="1" applyFont="1" applyFill="1" applyBorder="1" applyAlignment="1">
      <alignment horizontal="center"/>
    </xf>
    <xf numFmtId="6" fontId="2" fillId="9" borderId="9" xfId="0" applyNumberFormat="1" applyFont="1" applyFill="1" applyBorder="1" applyAlignment="1">
      <alignment horizontal="center"/>
    </xf>
    <xf numFmtId="164" fontId="4" fillId="17" borderId="11" xfId="1" applyNumberFormat="1" applyFont="1" applyFill="1" applyBorder="1" applyAlignment="1">
      <alignment horizontal="center"/>
    </xf>
    <xf numFmtId="164" fontId="4" fillId="17" borderId="6" xfId="1" applyNumberFormat="1" applyFont="1" applyFill="1" applyBorder="1" applyAlignment="1">
      <alignment horizontal="center"/>
    </xf>
    <xf numFmtId="164" fontId="4" fillId="17" borderId="12" xfId="1" applyNumberFormat="1" applyFont="1" applyFill="1" applyBorder="1" applyAlignment="1">
      <alignment horizontal="center"/>
    </xf>
    <xf numFmtId="6" fontId="2" fillId="3" borderId="1" xfId="0" applyNumberFormat="1" applyFont="1" applyFill="1" applyBorder="1" applyAlignment="1">
      <alignment horizontal="center"/>
    </xf>
    <xf numFmtId="6" fontId="2" fillId="4" borderId="1" xfId="0" applyNumberFormat="1" applyFont="1" applyFill="1" applyBorder="1" applyAlignment="1">
      <alignment horizontal="center"/>
    </xf>
    <xf numFmtId="6" fontId="2" fillId="4" borderId="2" xfId="0" applyNumberFormat="1" applyFont="1" applyFill="1" applyBorder="1" applyAlignment="1">
      <alignment horizontal="center"/>
    </xf>
    <xf numFmtId="6" fontId="2" fillId="17" borderId="11" xfId="0" applyNumberFormat="1" applyFont="1" applyFill="1" applyBorder="1" applyAlignment="1">
      <alignment horizontal="center"/>
    </xf>
    <xf numFmtId="6" fontId="2" fillId="17" borderId="6" xfId="0" applyNumberFormat="1" applyFont="1" applyFill="1" applyBorder="1" applyAlignment="1">
      <alignment horizontal="center"/>
    </xf>
    <xf numFmtId="6" fontId="2" fillId="17" borderId="3" xfId="0" applyNumberFormat="1" applyFont="1" applyFill="1" applyBorder="1" applyAlignment="1">
      <alignment horizontal="center"/>
    </xf>
    <xf numFmtId="6" fontId="2" fillId="17" borderId="24" xfId="0" applyNumberFormat="1" applyFont="1" applyFill="1" applyBorder="1" applyAlignment="1">
      <alignment horizontal="center"/>
    </xf>
    <xf numFmtId="6" fontId="2" fillId="8" borderId="7" xfId="0" applyNumberFormat="1" applyFont="1" applyFill="1" applyBorder="1" applyAlignment="1">
      <alignment horizontal="center"/>
    </xf>
    <xf numFmtId="6" fontId="2" fillId="8" borderId="8" xfId="0" applyNumberFormat="1" applyFont="1" applyFill="1" applyBorder="1" applyAlignment="1">
      <alignment horizontal="center"/>
    </xf>
    <xf numFmtId="6" fontId="2" fillId="8" borderId="9" xfId="0" applyNumberFormat="1" applyFont="1" applyFill="1" applyBorder="1" applyAlignment="1">
      <alignment horizontal="center"/>
    </xf>
    <xf numFmtId="6" fontId="6" fillId="10" borderId="23" xfId="0" applyNumberFormat="1" applyFont="1" applyFill="1" applyBorder="1" applyAlignment="1">
      <alignment horizontal="center"/>
    </xf>
    <xf numFmtId="6" fontId="6" fillId="10" borderId="3" xfId="0" applyNumberFormat="1" applyFont="1" applyFill="1" applyBorder="1" applyAlignment="1">
      <alignment horizontal="center"/>
    </xf>
    <xf numFmtId="6" fontId="6" fillId="10" borderId="24" xfId="0" applyNumberFormat="1" applyFont="1" applyFill="1" applyBorder="1" applyAlignment="1">
      <alignment horizontal="center"/>
    </xf>
    <xf numFmtId="6" fontId="6" fillId="19" borderId="23" xfId="0" applyNumberFormat="1" applyFont="1" applyFill="1" applyBorder="1" applyAlignment="1">
      <alignment horizontal="center"/>
    </xf>
    <xf numFmtId="6" fontId="6" fillId="19" borderId="3" xfId="0" applyNumberFormat="1" applyFont="1" applyFill="1" applyBorder="1" applyAlignment="1">
      <alignment horizontal="center"/>
    </xf>
    <xf numFmtId="6" fontId="6" fillId="19" borderId="24" xfId="0" applyNumberFormat="1" applyFont="1" applyFill="1" applyBorder="1" applyAlignment="1">
      <alignment horizontal="center"/>
    </xf>
    <xf numFmtId="6" fontId="2" fillId="17" borderId="7" xfId="0" applyNumberFormat="1" applyFont="1" applyFill="1" applyBorder="1" applyAlignment="1">
      <alignment horizontal="center"/>
    </xf>
    <xf numFmtId="6" fontId="2" fillId="17" borderId="8" xfId="0" applyNumberFormat="1" applyFont="1" applyFill="1" applyBorder="1" applyAlignment="1">
      <alignment horizontal="center"/>
    </xf>
    <xf numFmtId="6" fontId="2" fillId="17" borderId="9" xfId="0" applyNumberFormat="1" applyFont="1" applyFill="1" applyBorder="1" applyAlignment="1">
      <alignment horizontal="center"/>
    </xf>
    <xf numFmtId="6" fontId="2" fillId="16" borderId="7" xfId="0" applyNumberFormat="1" applyFont="1" applyFill="1" applyBorder="1" applyAlignment="1">
      <alignment horizontal="center"/>
    </xf>
    <xf numFmtId="6" fontId="2" fillId="16" borderId="8" xfId="0" applyNumberFormat="1" applyFont="1" applyFill="1" applyBorder="1" applyAlignment="1">
      <alignment horizontal="center"/>
    </xf>
    <xf numFmtId="6" fontId="2" fillId="16" borderId="9" xfId="0" applyNumberFormat="1" applyFont="1" applyFill="1" applyBorder="1" applyAlignment="1">
      <alignment horizontal="center"/>
    </xf>
    <xf numFmtId="6" fontId="2" fillId="4" borderId="7" xfId="0" applyNumberFormat="1" applyFont="1" applyFill="1" applyBorder="1" applyAlignment="1">
      <alignment horizontal="center"/>
    </xf>
    <xf numFmtId="6" fontId="2" fillId="4" borderId="8" xfId="0" applyNumberFormat="1" applyFont="1" applyFill="1" applyBorder="1" applyAlignment="1">
      <alignment horizontal="center"/>
    </xf>
    <xf numFmtId="6" fontId="2" fillId="4" borderId="9" xfId="0" applyNumberFormat="1" applyFont="1" applyFill="1" applyBorder="1" applyAlignment="1">
      <alignment horizontal="center"/>
    </xf>
    <xf numFmtId="6" fontId="13" fillId="0" borderId="10" xfId="0" applyNumberFormat="1" applyFont="1" applyBorder="1" applyAlignment="1">
      <alignment horizontal="left" wrapText="1"/>
    </xf>
    <xf numFmtId="6" fontId="13" fillId="0" borderId="10" xfId="0" applyNumberFormat="1" applyFont="1" applyBorder="1" applyAlignment="1">
      <alignment horizontal="left"/>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3" xfId="0" applyFont="1" applyFill="1" applyBorder="1" applyAlignment="1">
      <alignment horizontal="center" vertical="center"/>
    </xf>
    <xf numFmtId="0" fontId="6" fillId="10" borderId="7" xfId="0" applyFont="1" applyFill="1" applyBorder="1" applyAlignment="1">
      <alignment horizontal="center"/>
    </xf>
    <xf numFmtId="0" fontId="6" fillId="10" borderId="8" xfId="0" applyFont="1" applyFill="1" applyBorder="1" applyAlignment="1">
      <alignment horizontal="center"/>
    </xf>
    <xf numFmtId="0" fontId="6" fillId="10" borderId="9" xfId="0" applyFont="1" applyFill="1" applyBorder="1" applyAlignment="1">
      <alignment horizontal="center"/>
    </xf>
    <xf numFmtId="0" fontId="6" fillId="19" borderId="7" xfId="0" applyFont="1" applyFill="1" applyBorder="1" applyAlignment="1">
      <alignment horizontal="center"/>
    </xf>
    <xf numFmtId="0" fontId="6" fillId="19" borderId="8" xfId="0" applyFont="1" applyFill="1" applyBorder="1" applyAlignment="1">
      <alignment horizontal="center"/>
    </xf>
    <xf numFmtId="0" fontId="6" fillId="19" borderId="9" xfId="0" applyFont="1" applyFill="1" applyBorder="1" applyAlignment="1">
      <alignment horizontal="center"/>
    </xf>
  </cellXfs>
  <cellStyles count="4">
    <cellStyle name="Currency" xfId="1" builtinId="4"/>
    <cellStyle name="Hyperlink" xfId="3" builtinId="8"/>
    <cellStyle name="Normal" xfId="0" builtinId="0"/>
    <cellStyle name="Percent" xfId="2" builtinId="5"/>
  </cellStyles>
  <dxfs count="62">
    <dxf>
      <font>
        <b/>
        <i val="0"/>
        <color theme="0"/>
      </font>
      <fill>
        <patternFill>
          <bgColor rgb="FFC00000"/>
        </patternFill>
      </fill>
      <border>
        <left/>
        <right/>
        <top/>
        <bottom/>
      </border>
    </dxf>
    <dxf>
      <font>
        <color rgb="FF9C5700"/>
      </font>
      <fill>
        <patternFill>
          <bgColor rgb="FFFFEB9C"/>
        </patternFill>
      </fill>
    </dxf>
    <dxf>
      <font>
        <color theme="9" tint="0.59996337778862885"/>
      </font>
    </dxf>
    <dxf>
      <font>
        <color theme="0"/>
      </font>
    </dxf>
    <dxf>
      <font>
        <color rgb="FF9C0006"/>
      </font>
      <fill>
        <patternFill>
          <bgColor rgb="FFFFC7CE"/>
        </patternFill>
      </fill>
    </dxf>
    <dxf>
      <font>
        <color theme="0"/>
      </font>
      <fill>
        <patternFill patternType="none">
          <bgColor auto="1"/>
        </patternFill>
      </fill>
    </dxf>
    <dxf>
      <font>
        <b/>
        <i val="0"/>
        <color theme="0"/>
      </font>
      <fill>
        <patternFill>
          <bgColor rgb="FF2F75B5"/>
        </patternFill>
      </fill>
    </dxf>
    <dxf>
      <font>
        <color auto="1"/>
      </font>
      <fill>
        <patternFill>
          <bgColor rgb="FFFFE2C5"/>
        </patternFill>
      </fill>
    </dxf>
    <dxf>
      <font>
        <color rgb="FF9C0006"/>
      </font>
      <fill>
        <patternFill>
          <bgColor rgb="FFFFB7C0"/>
        </patternFill>
      </fill>
    </dxf>
    <dxf>
      <font>
        <color rgb="FF9C0006"/>
      </font>
      <fill>
        <patternFill>
          <bgColor rgb="FFFFDDE1"/>
        </patternFill>
      </fill>
    </dxf>
    <dxf>
      <font>
        <color theme="9" tint="-0.499984740745262"/>
      </font>
      <fill>
        <patternFill>
          <bgColor theme="9" tint="0.39994506668294322"/>
        </patternFill>
      </fill>
    </dxf>
    <dxf>
      <font>
        <color theme="9" tint="-0.499984740745262"/>
      </font>
      <fill>
        <patternFill>
          <bgColor rgb="FFE0EED6"/>
        </patternFill>
      </fill>
    </dxf>
    <dxf>
      <font>
        <color rgb="FF9C0006"/>
      </font>
      <fill>
        <patternFill>
          <bgColor rgb="FFFFB7C0"/>
        </patternFill>
      </fill>
    </dxf>
    <dxf>
      <font>
        <color rgb="FF9C0006"/>
      </font>
      <fill>
        <patternFill>
          <bgColor rgb="FFFFDDE1"/>
        </patternFill>
      </fill>
    </dxf>
    <dxf>
      <font>
        <color theme="9" tint="-0.499984740745262"/>
      </font>
      <fill>
        <patternFill>
          <bgColor theme="9" tint="0.39994506668294322"/>
        </patternFill>
      </fill>
    </dxf>
    <dxf>
      <font>
        <color theme="9" tint="-0.499984740745262"/>
      </font>
      <fill>
        <patternFill>
          <bgColor rgb="FFE0EED6"/>
        </patternFill>
      </fill>
    </dxf>
    <dxf>
      <font>
        <color rgb="FF9C0006"/>
      </font>
      <fill>
        <patternFill>
          <bgColor rgb="FFFFB7C0"/>
        </patternFill>
      </fill>
    </dxf>
    <dxf>
      <font>
        <color rgb="FF9C0006"/>
      </font>
      <fill>
        <patternFill>
          <bgColor rgb="FFFFDDE1"/>
        </patternFill>
      </fill>
    </dxf>
    <dxf>
      <font>
        <color theme="9" tint="-0.499984740745262"/>
      </font>
      <fill>
        <patternFill>
          <bgColor theme="9" tint="0.39994506668294322"/>
        </patternFill>
      </fill>
    </dxf>
    <dxf>
      <font>
        <color theme="9" tint="-0.499984740745262"/>
      </font>
      <fill>
        <patternFill>
          <bgColor rgb="FFE0EED6"/>
        </patternFill>
      </fill>
    </dxf>
    <dxf>
      <font>
        <color rgb="FF9C0006"/>
      </font>
      <fill>
        <patternFill>
          <bgColor rgb="FFFFB7C0"/>
        </patternFill>
      </fill>
    </dxf>
    <dxf>
      <font>
        <color rgb="FF9C0006"/>
      </font>
      <fill>
        <patternFill>
          <bgColor rgb="FFFFDDE1"/>
        </patternFill>
      </fill>
    </dxf>
    <dxf>
      <font>
        <color theme="9" tint="-0.499984740745262"/>
      </font>
      <fill>
        <patternFill>
          <bgColor theme="9" tint="0.39994506668294322"/>
        </patternFill>
      </fill>
    </dxf>
    <dxf>
      <font>
        <color theme="9" tint="-0.499984740745262"/>
      </font>
      <fill>
        <patternFill>
          <bgColor rgb="FFE0EED6"/>
        </patternFill>
      </fill>
    </dxf>
    <dxf>
      <font>
        <color rgb="FF9C0006"/>
      </font>
      <fill>
        <patternFill>
          <bgColor rgb="FFFFB7C0"/>
        </patternFill>
      </fill>
    </dxf>
    <dxf>
      <font>
        <color rgb="FF9C0006"/>
      </font>
      <fill>
        <patternFill>
          <bgColor rgb="FFFFDDE1"/>
        </patternFill>
      </fill>
    </dxf>
    <dxf>
      <font>
        <color theme="9" tint="-0.499984740745262"/>
      </font>
      <fill>
        <patternFill>
          <bgColor theme="9" tint="0.39994506668294322"/>
        </patternFill>
      </fill>
    </dxf>
    <dxf>
      <font>
        <color theme="9" tint="-0.499984740745262"/>
      </font>
      <fill>
        <patternFill>
          <bgColor rgb="FFE0EED6"/>
        </patternFill>
      </fill>
    </dxf>
    <dxf>
      <font>
        <color rgb="FF9C0006"/>
      </font>
      <fill>
        <patternFill>
          <bgColor rgb="FFFFB7C0"/>
        </patternFill>
      </fill>
    </dxf>
    <dxf>
      <font>
        <color rgb="FF9C0006"/>
      </font>
      <fill>
        <patternFill>
          <bgColor rgb="FFFFDDE1"/>
        </patternFill>
      </fill>
    </dxf>
    <dxf>
      <font>
        <color theme="9" tint="-0.499984740745262"/>
      </font>
      <fill>
        <patternFill>
          <bgColor theme="9" tint="0.39994506668294322"/>
        </patternFill>
      </fill>
    </dxf>
    <dxf>
      <font>
        <color theme="9" tint="-0.499984740745262"/>
      </font>
      <fill>
        <patternFill>
          <bgColor rgb="FFE0EED6"/>
        </patternFill>
      </fill>
    </dxf>
    <dxf>
      <font>
        <color auto="1"/>
      </font>
      <fill>
        <patternFill>
          <bgColor rgb="FFFFE2C5"/>
        </patternFill>
      </fill>
    </dxf>
    <dxf>
      <font>
        <color rgb="FF9C0006"/>
      </font>
      <fill>
        <patternFill>
          <bgColor rgb="FFFFB7C0"/>
        </patternFill>
      </fill>
    </dxf>
    <dxf>
      <font>
        <color rgb="FF9C0006"/>
      </font>
      <fill>
        <patternFill>
          <bgColor rgb="FFFFDDE1"/>
        </patternFill>
      </fill>
    </dxf>
    <dxf>
      <font>
        <color theme="9" tint="-0.499984740745262"/>
      </font>
      <fill>
        <patternFill>
          <bgColor theme="9" tint="0.39994506668294322"/>
        </patternFill>
      </fill>
    </dxf>
    <dxf>
      <font>
        <color theme="9" tint="-0.499984740745262"/>
      </font>
      <fill>
        <patternFill>
          <bgColor rgb="FFE0EED6"/>
        </patternFill>
      </fill>
    </dxf>
    <dxf>
      <font>
        <color auto="1"/>
      </font>
      <fill>
        <patternFill>
          <bgColor rgb="FFFFE2C5"/>
        </patternFill>
      </fill>
    </dxf>
    <dxf>
      <font>
        <color rgb="FF006100"/>
      </font>
      <fill>
        <patternFill>
          <bgColor rgb="FF9AE2A8"/>
        </patternFill>
      </fill>
    </dxf>
    <dxf>
      <font>
        <color theme="9" tint="-0.499984740745262"/>
      </font>
      <fill>
        <patternFill>
          <bgColor theme="9" tint="0.79998168889431442"/>
        </patternFill>
      </fill>
    </dxf>
    <dxf>
      <font>
        <color rgb="FF9C5700"/>
      </font>
      <fill>
        <patternFill>
          <bgColor rgb="FFFFEB9C"/>
        </patternFill>
      </fill>
    </dxf>
    <dxf>
      <font>
        <color rgb="FF9C0006"/>
      </font>
      <fill>
        <patternFill>
          <bgColor rgb="FFFFC7CE"/>
        </patternFill>
      </fill>
    </dxf>
    <dxf>
      <font>
        <color theme="9" tint="-0.499984740745262"/>
      </font>
      <fill>
        <patternFill>
          <bgColor theme="9" tint="0.39994506668294322"/>
        </patternFill>
      </fill>
    </dxf>
    <dxf>
      <font>
        <color rgb="FF9C0006"/>
      </font>
      <fill>
        <patternFill>
          <bgColor rgb="FFFFB7C0"/>
        </patternFill>
      </fill>
    </dxf>
    <dxf>
      <font>
        <color rgb="FF9C0006"/>
      </font>
      <fill>
        <patternFill>
          <bgColor rgb="FFFFDDE1"/>
        </patternFill>
      </fill>
    </dxf>
    <dxf>
      <font>
        <color theme="9" tint="-0.499984740745262"/>
      </font>
      <fill>
        <patternFill>
          <bgColor theme="9" tint="0.39994506668294322"/>
        </patternFill>
      </fill>
    </dxf>
    <dxf>
      <font>
        <color theme="9" tint="-0.499984740745262"/>
      </font>
      <fill>
        <patternFill>
          <bgColor rgb="FFE0EED6"/>
        </patternFill>
      </fill>
    </dxf>
    <dxf>
      <font>
        <color theme="9" tint="-0.24994659260841701"/>
      </font>
    </dxf>
    <dxf>
      <font>
        <color theme="9" tint="-0.24994659260841701"/>
      </font>
    </dxf>
    <dxf>
      <font>
        <b/>
        <i val="0"/>
        <color theme="0"/>
      </font>
      <fill>
        <patternFill>
          <bgColor rgb="FFC00000"/>
        </patternFill>
      </fill>
    </dxf>
    <dxf>
      <font>
        <color theme="7" tint="-0.499984740745262"/>
      </font>
      <fill>
        <patternFill>
          <bgColor theme="7" tint="0.39994506668294322"/>
        </patternFill>
      </fill>
    </dxf>
    <dxf>
      <font>
        <b/>
        <i val="0"/>
        <color theme="0"/>
      </font>
      <fill>
        <patternFill>
          <bgColor rgb="FFC00000"/>
        </patternFill>
      </fill>
    </dxf>
    <dxf>
      <font>
        <color theme="7" tint="-0.499984740745262"/>
      </font>
      <fill>
        <patternFill>
          <bgColor theme="7" tint="0.39994506668294322"/>
        </patternFill>
      </fill>
    </dxf>
    <dxf>
      <font>
        <b/>
        <i val="0"/>
        <color theme="0"/>
      </font>
      <fill>
        <patternFill>
          <bgColor rgb="FF2F75B5"/>
        </patternFill>
      </fill>
    </dxf>
    <dxf>
      <font>
        <b/>
        <i val="0"/>
        <color theme="0"/>
      </font>
      <fill>
        <patternFill>
          <bgColor rgb="FF2F75B5"/>
        </patternFill>
      </fill>
    </dxf>
    <dxf>
      <font>
        <b/>
        <i val="0"/>
        <color theme="0"/>
      </font>
      <fill>
        <patternFill>
          <bgColor rgb="FF2F75B5"/>
        </patternFill>
      </fill>
    </dxf>
    <dxf>
      <font>
        <color rgb="FF9C0006"/>
      </font>
      <fill>
        <patternFill>
          <bgColor rgb="FFFFC7CE"/>
        </patternFill>
      </fill>
    </dxf>
    <dxf>
      <font>
        <b/>
        <i val="0"/>
        <color theme="0"/>
      </font>
      <fill>
        <patternFill>
          <bgColor rgb="FF2F75B5"/>
        </patternFill>
      </fill>
    </dxf>
    <dxf>
      <font>
        <b/>
        <i val="0"/>
        <color theme="0"/>
      </font>
      <fill>
        <patternFill>
          <bgColor rgb="FF2F75B5"/>
        </patternFill>
      </fill>
    </dxf>
    <dxf>
      <font>
        <b/>
        <i val="0"/>
        <color theme="0"/>
      </font>
      <fill>
        <patternFill>
          <bgColor rgb="FF2F75B5"/>
        </patternFill>
      </fill>
    </dxf>
    <dxf>
      <font>
        <b/>
        <i val="0"/>
        <color theme="0"/>
      </font>
      <fill>
        <patternFill>
          <bgColor rgb="FF2F75B5"/>
        </patternFill>
      </fill>
    </dxf>
    <dxf>
      <font>
        <b/>
        <i val="0"/>
        <color theme="0"/>
      </font>
      <fill>
        <patternFill>
          <bgColor rgb="FF2F75B5"/>
        </patternFill>
      </fill>
    </dxf>
  </dxfs>
  <tableStyles count="0" defaultTableStyle="TableStyleMedium2" defaultPivotStyle="PivotStyleLight16"/>
  <colors>
    <mruColors>
      <color rgb="FFFFE2C5"/>
      <color rgb="FFFFB7C0"/>
      <color rgb="FF9C0006"/>
      <color rgb="FFFFDDE1"/>
      <color rgb="FFE0EED6"/>
      <color rgb="FF005D7E"/>
      <color rgb="FFABE9FF"/>
      <color rgb="FFBDEEFF"/>
      <color rgb="FFD1F3FF"/>
      <color rgb="FF97E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hyperlink" Target="https://www.ssa.gov/benefits/survivors/ifyou.html" TargetMode="External"/><Relationship Id="rId2" Type="http://schemas.openxmlformats.org/officeDocument/2006/relationships/hyperlink" Target="https://www.thebalance.com/state-income-tax-rates-3193320" TargetMode="External"/><Relationship Id="rId1" Type="http://schemas.openxmlformats.org/officeDocument/2006/relationships/hyperlink" Target="https://www.ssa.gov/benefits/retirement/planner/whileworking.html" TargetMode="External"/><Relationship Id="rId4" Type="http://schemas.openxmlformats.org/officeDocument/2006/relationships/hyperlink" Target="https://www.ssa.gov/oact/STATS/table4c6.html" TargetMode="External"/></Relationships>
</file>

<file path=xl/drawings/drawing1.xml><?xml version="1.0" encoding="utf-8"?>
<xdr:wsDr xmlns:xdr="http://schemas.openxmlformats.org/drawingml/2006/spreadsheetDrawing" xmlns:a="http://schemas.openxmlformats.org/drawingml/2006/main">
  <xdr:twoCellAnchor>
    <xdr:from>
      <xdr:col>0</xdr:col>
      <xdr:colOff>133350</xdr:colOff>
      <xdr:row>14</xdr:row>
      <xdr:rowOff>95251</xdr:rowOff>
    </xdr:from>
    <xdr:to>
      <xdr:col>18</xdr:col>
      <xdr:colOff>600074</xdr:colOff>
      <xdr:row>21</xdr:row>
      <xdr:rowOff>9526</xdr:rowOff>
    </xdr:to>
    <xdr:sp macro="" textlink="">
      <xdr:nvSpPr>
        <xdr:cNvPr id="2" name="Rectangle: Rounded Corners 1">
          <a:extLst>
            <a:ext uri="{FF2B5EF4-FFF2-40B4-BE49-F238E27FC236}">
              <a16:creationId xmlns:a16="http://schemas.microsoft.com/office/drawing/2014/main" id="{A1FF2E87-BD71-4863-804A-E2BBB08C0733}"/>
            </a:ext>
          </a:extLst>
        </xdr:cNvPr>
        <xdr:cNvSpPr/>
      </xdr:nvSpPr>
      <xdr:spPr>
        <a:xfrm>
          <a:off x="133350" y="2676526"/>
          <a:ext cx="8801099" cy="1181100"/>
        </a:xfrm>
        <a:prstGeom prst="roundRect">
          <a:avLst/>
        </a:prstGeom>
        <a:noFill/>
        <a:ln w="38100">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154305</xdr:colOff>
      <xdr:row>47</xdr:row>
      <xdr:rowOff>129540</xdr:rowOff>
    </xdr:from>
    <xdr:to>
      <xdr:col>19</xdr:col>
      <xdr:colOff>13334</xdr:colOff>
      <xdr:row>58</xdr:row>
      <xdr:rowOff>0</xdr:rowOff>
    </xdr:to>
    <xdr:sp macro="" textlink="">
      <xdr:nvSpPr>
        <xdr:cNvPr id="5" name="Rectangle: Rounded Corners 4">
          <a:extLst>
            <a:ext uri="{FF2B5EF4-FFF2-40B4-BE49-F238E27FC236}">
              <a16:creationId xmlns:a16="http://schemas.microsoft.com/office/drawing/2014/main" id="{3D8B724E-1B7E-4548-B5B3-699CF2A0E9F7}"/>
            </a:ext>
          </a:extLst>
        </xdr:cNvPr>
        <xdr:cNvSpPr/>
      </xdr:nvSpPr>
      <xdr:spPr>
        <a:xfrm>
          <a:off x="154305" y="10330815"/>
          <a:ext cx="8803004" cy="1499235"/>
        </a:xfrm>
        <a:prstGeom prst="roundRect">
          <a:avLst/>
        </a:prstGeom>
        <a:noFill/>
        <a:ln w="381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133350</xdr:colOff>
      <xdr:row>22</xdr:row>
      <xdr:rowOff>85725</xdr:rowOff>
    </xdr:from>
    <xdr:to>
      <xdr:col>18</xdr:col>
      <xdr:colOff>590549</xdr:colOff>
      <xdr:row>26</xdr:row>
      <xdr:rowOff>163830</xdr:rowOff>
    </xdr:to>
    <xdr:sp macro="" textlink="">
      <xdr:nvSpPr>
        <xdr:cNvPr id="6" name="Rectangle: Rounded Corners 5">
          <a:extLst>
            <a:ext uri="{FF2B5EF4-FFF2-40B4-BE49-F238E27FC236}">
              <a16:creationId xmlns:a16="http://schemas.microsoft.com/office/drawing/2014/main" id="{9A02FB36-DD07-4B7E-98E1-3074BFA142F5}"/>
            </a:ext>
          </a:extLst>
        </xdr:cNvPr>
        <xdr:cNvSpPr/>
      </xdr:nvSpPr>
      <xdr:spPr>
        <a:xfrm>
          <a:off x="133350" y="4114800"/>
          <a:ext cx="8658224" cy="982980"/>
        </a:xfrm>
        <a:prstGeom prst="roundRect">
          <a:avLst/>
        </a:prstGeom>
        <a:noFill/>
        <a:ln w="38100">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148590</xdr:colOff>
      <xdr:row>28</xdr:row>
      <xdr:rowOff>95250</xdr:rowOff>
    </xdr:from>
    <xdr:to>
      <xdr:col>19</xdr:col>
      <xdr:colOff>3809</xdr:colOff>
      <xdr:row>34</xdr:row>
      <xdr:rowOff>167640</xdr:rowOff>
    </xdr:to>
    <xdr:sp macro="" textlink="">
      <xdr:nvSpPr>
        <xdr:cNvPr id="7" name="Rectangle: Rounded Corners 6">
          <a:extLst>
            <a:ext uri="{FF2B5EF4-FFF2-40B4-BE49-F238E27FC236}">
              <a16:creationId xmlns:a16="http://schemas.microsoft.com/office/drawing/2014/main" id="{4620723F-A58A-4512-B725-79617FDDA003}"/>
            </a:ext>
          </a:extLst>
        </xdr:cNvPr>
        <xdr:cNvSpPr/>
      </xdr:nvSpPr>
      <xdr:spPr>
        <a:xfrm>
          <a:off x="148590" y="5391150"/>
          <a:ext cx="8665844" cy="1158240"/>
        </a:xfrm>
        <a:prstGeom prst="roundRect">
          <a:avLst/>
        </a:prstGeom>
        <a:noFill/>
        <a:ln w="38100">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154305</xdr:colOff>
      <xdr:row>36</xdr:row>
      <xdr:rowOff>91441</xdr:rowOff>
    </xdr:from>
    <xdr:to>
      <xdr:col>19</xdr:col>
      <xdr:colOff>17144</xdr:colOff>
      <xdr:row>41</xdr:row>
      <xdr:rowOff>171450</xdr:rowOff>
    </xdr:to>
    <xdr:sp macro="" textlink="">
      <xdr:nvSpPr>
        <xdr:cNvPr id="8" name="Rectangle: Rounded Corners 7">
          <a:extLst>
            <a:ext uri="{FF2B5EF4-FFF2-40B4-BE49-F238E27FC236}">
              <a16:creationId xmlns:a16="http://schemas.microsoft.com/office/drawing/2014/main" id="{70BEDFA5-764B-4648-AB49-37F66A2DDBE7}"/>
            </a:ext>
          </a:extLst>
        </xdr:cNvPr>
        <xdr:cNvSpPr/>
      </xdr:nvSpPr>
      <xdr:spPr>
        <a:xfrm>
          <a:off x="154305" y="6835141"/>
          <a:ext cx="8673464" cy="984884"/>
        </a:xfrm>
        <a:prstGeom prst="roundRect">
          <a:avLst/>
        </a:prstGeom>
        <a:noFill/>
        <a:ln w="38100">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1078230</xdr:colOff>
      <xdr:row>13</xdr:row>
      <xdr:rowOff>53341</xdr:rowOff>
    </xdr:from>
    <xdr:to>
      <xdr:col>14</xdr:col>
      <xdr:colOff>382905</xdr:colOff>
      <xdr:row>21</xdr:row>
      <xdr:rowOff>133350</xdr:rowOff>
    </xdr:to>
    <xdr:sp macro="" textlink="">
      <xdr:nvSpPr>
        <xdr:cNvPr id="3" name="TextBox 2">
          <a:extLst>
            <a:ext uri="{FF2B5EF4-FFF2-40B4-BE49-F238E27FC236}">
              <a16:creationId xmlns:a16="http://schemas.microsoft.com/office/drawing/2014/main" id="{A34F6974-A9A7-4A7B-9455-7DD16BD82812}"/>
            </a:ext>
          </a:extLst>
        </xdr:cNvPr>
        <xdr:cNvSpPr txBox="1"/>
      </xdr:nvSpPr>
      <xdr:spPr>
        <a:xfrm>
          <a:off x="7231380" y="2501266"/>
          <a:ext cx="3990975" cy="15278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baseline="0"/>
            <a:t>Roth 401(k)</a:t>
          </a:r>
        </a:p>
        <a:p>
          <a:r>
            <a:rPr lang="en-US" sz="1100" baseline="0"/>
            <a:t>The Roth 401(k) is subject to Required Minimum Distribution (RMD) just lik a regular 401(k). However, you can and should transfer your Roth 401(k) to an existing 5-year-old Roth IRA account at the time of retirement to avoid the RMD. The Roth IRA should be 5-years-old to avoid the IRA 5-year rule. The Projections calculations assume this transfer by treating Roth 401(k) funds as Roth IRA funds.</a:t>
          </a:r>
        </a:p>
      </xdr:txBody>
    </xdr:sp>
    <xdr:clientData/>
  </xdr:twoCellAnchor>
  <xdr:twoCellAnchor>
    <xdr:from>
      <xdr:col>11</xdr:col>
      <xdr:colOff>569595</xdr:colOff>
      <xdr:row>82</xdr:row>
      <xdr:rowOff>15240</xdr:rowOff>
    </xdr:from>
    <xdr:to>
      <xdr:col>22</xdr:col>
      <xdr:colOff>598170</xdr:colOff>
      <xdr:row>87</xdr:row>
      <xdr:rowOff>66674</xdr:rowOff>
    </xdr:to>
    <xdr:sp macro="" textlink="">
      <xdr:nvSpPr>
        <xdr:cNvPr id="4" name="TextBox 3">
          <a:hlinkClick xmlns:r="http://schemas.openxmlformats.org/officeDocument/2006/relationships" r:id="rId1"/>
          <a:extLst>
            <a:ext uri="{FF2B5EF4-FFF2-40B4-BE49-F238E27FC236}">
              <a16:creationId xmlns:a16="http://schemas.microsoft.com/office/drawing/2014/main" id="{F318B4A7-6266-46C6-9C38-FCF45838B4C5}"/>
            </a:ext>
          </a:extLst>
        </xdr:cNvPr>
        <xdr:cNvSpPr txBox="1"/>
      </xdr:nvSpPr>
      <xdr:spPr>
        <a:xfrm>
          <a:off x="9580245" y="15140940"/>
          <a:ext cx="6743700" cy="9563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baseline="0"/>
            <a:t>Social Security Income and Earned Income</a:t>
          </a:r>
          <a:r>
            <a:rPr lang="en-US" sz="1100" u="none" baseline="0"/>
            <a:t> (2022)</a:t>
          </a:r>
          <a:endParaRPr lang="en-US" sz="1100" u="sng" baseline="0"/>
        </a:p>
        <a:p>
          <a:r>
            <a:rPr lang="en-US" sz="1100" baseline="0"/>
            <a:t>1. Prior to full retirement age, SS is reduced by $1 for every $2 earned above the annual earnings limit of $19,560.</a:t>
          </a:r>
        </a:p>
        <a:p>
          <a:r>
            <a:rPr lang="en-US" sz="1100" baseline="0"/>
            <a:t>2. In the year of full retirement age, SS is reduced by $1 for every $3 earned above the annual limit of $51,960.</a:t>
          </a:r>
        </a:p>
        <a:p>
          <a:r>
            <a:rPr lang="en-US" sz="1100" baseline="0"/>
            <a:t>3. After full retirement age, there is no limit on earned income.</a:t>
          </a:r>
        </a:p>
        <a:p>
          <a:r>
            <a:rPr lang="en-US" sz="1100" baseline="0"/>
            <a:t>https://www.ssa.gov/benefits/retirement/planner/whileworking.html</a:t>
          </a:r>
        </a:p>
        <a:p>
          <a:r>
            <a:rPr lang="en-US" sz="1100" baseline="0"/>
            <a:t> </a:t>
          </a:r>
        </a:p>
      </xdr:txBody>
    </xdr:sp>
    <xdr:clientData/>
  </xdr:twoCellAnchor>
  <xdr:twoCellAnchor>
    <xdr:from>
      <xdr:col>8</xdr:col>
      <xdr:colOff>1017270</xdr:colOff>
      <xdr:row>28</xdr:row>
      <xdr:rowOff>163830</xdr:rowOff>
    </xdr:from>
    <xdr:to>
      <xdr:col>14</xdr:col>
      <xdr:colOff>325755</xdr:colOff>
      <xdr:row>39</xdr:row>
      <xdr:rowOff>0</xdr:rowOff>
    </xdr:to>
    <xdr:sp macro="" textlink="">
      <xdr:nvSpPr>
        <xdr:cNvPr id="5" name="TextBox 4">
          <a:extLst>
            <a:ext uri="{FF2B5EF4-FFF2-40B4-BE49-F238E27FC236}">
              <a16:creationId xmlns:a16="http://schemas.microsoft.com/office/drawing/2014/main" id="{F3B78D8A-238E-4A12-B8D0-8B0DFF3A2366}"/>
            </a:ext>
          </a:extLst>
        </xdr:cNvPr>
        <xdr:cNvSpPr txBox="1"/>
      </xdr:nvSpPr>
      <xdr:spPr>
        <a:xfrm>
          <a:off x="7170420" y="6659880"/>
          <a:ext cx="3994785" cy="18268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baseline="0"/>
            <a:t>Long-term capital gains taxes</a:t>
          </a:r>
          <a:endParaRPr lang="en-US" sz="1100" u="none"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u="none" baseline="0"/>
            <a:t>Long-term capital gains taxes apply for any asset sold after holding that asset for one year or longer. </a:t>
          </a:r>
          <a:r>
            <a:rPr lang="en-US" sz="1100" baseline="0">
              <a:solidFill>
                <a:schemeClr val="dk1"/>
              </a:solidFill>
              <a:effectLst/>
              <a:latin typeface="+mn-lt"/>
              <a:ea typeface="+mn-ea"/>
              <a:cs typeface="+mn-cs"/>
            </a:rPr>
            <a:t>Long-term capital taxes are 0%, 15%, or 20% based on total income for that year. The Projections worksheet assumes all investments are held for one year or longer.</a:t>
          </a:r>
          <a:endParaRPr lang="en-US">
            <a:effectLst/>
          </a:endParaRPr>
        </a:p>
        <a:p>
          <a:r>
            <a:rPr lang="en-US" sz="1100" u="none" baseline="0"/>
            <a:t> </a:t>
          </a:r>
        </a:p>
        <a:p>
          <a:r>
            <a:rPr lang="en-US" sz="1100" baseline="0">
              <a:solidFill>
                <a:schemeClr val="dk1"/>
              </a:solidFill>
              <a:effectLst/>
              <a:latin typeface="+mn-lt"/>
              <a:ea typeface="+mn-ea"/>
              <a:cs typeface="+mn-cs"/>
            </a:rPr>
            <a:t>Short-term capital gains taxes apply for any asset</a:t>
          </a:r>
          <a:r>
            <a:rPr lang="en-US" sz="1100" u="none" baseline="0"/>
            <a:t> sold prior to holding that asset for one year. Short-term capital gains are treated as ordinary income.</a:t>
          </a:r>
        </a:p>
      </xdr:txBody>
    </xdr:sp>
    <xdr:clientData/>
  </xdr:twoCellAnchor>
  <xdr:twoCellAnchor>
    <xdr:from>
      <xdr:col>13</xdr:col>
      <xdr:colOff>121919</xdr:colOff>
      <xdr:row>1</xdr:row>
      <xdr:rowOff>95250</xdr:rowOff>
    </xdr:from>
    <xdr:to>
      <xdr:col>23</xdr:col>
      <xdr:colOff>388619</xdr:colOff>
      <xdr:row>10</xdr:row>
      <xdr:rowOff>76200</xdr:rowOff>
    </xdr:to>
    <xdr:sp macro="" textlink="">
      <xdr:nvSpPr>
        <xdr:cNvPr id="6" name="TextBox 5">
          <a:hlinkClick xmlns:r="http://schemas.openxmlformats.org/officeDocument/2006/relationships" r:id="rId2"/>
          <a:extLst>
            <a:ext uri="{FF2B5EF4-FFF2-40B4-BE49-F238E27FC236}">
              <a16:creationId xmlns:a16="http://schemas.microsoft.com/office/drawing/2014/main" id="{ABA98C5F-3FEC-4BED-B1C4-B2E7586FE4A1}"/>
            </a:ext>
          </a:extLst>
        </xdr:cNvPr>
        <xdr:cNvSpPr txBox="1"/>
      </xdr:nvSpPr>
      <xdr:spPr>
        <a:xfrm>
          <a:off x="10351769" y="1562100"/>
          <a:ext cx="6372225" cy="1657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baseline="0"/>
            <a:t>Selecting a State</a:t>
          </a:r>
        </a:p>
        <a:p>
          <a:r>
            <a:rPr lang="en-US" sz="1100" baseline="0"/>
            <a:t>Use the three options to explore the impact of state taxes on your retirement plans.</a:t>
          </a:r>
        </a:p>
        <a:p>
          <a:r>
            <a:rPr lang="en-US" sz="1100" baseline="0"/>
            <a:t>1. None: There are eight states with no state taxes</a:t>
          </a:r>
        </a:p>
        <a:p>
          <a:r>
            <a:rPr lang="en-US" sz="1100" baseline="0"/>
            <a:t>2. Kentucky has a 5% flat tax. There are 10 states with flat tax rates ranging from 3.07% to 5.25%.</a:t>
          </a:r>
        </a:p>
        <a:p>
          <a:r>
            <a:rPr lang="en-US" sz="1100" baseline="0"/>
            <a:t>3. Oregon has a top rate of 9.9%. There are four states with higher top rates. California has the highest at 13.3%.</a:t>
          </a:r>
        </a:p>
        <a:p>
          <a:endParaRPr lang="en-US" sz="1100" baseline="0"/>
        </a:p>
        <a:p>
          <a:r>
            <a:rPr lang="en-US" sz="1100" baseline="0"/>
            <a:t>Compare every state's income tax rate at</a:t>
          </a:r>
        </a:p>
        <a:p>
          <a:r>
            <a:rPr lang="en-US" sz="1100" baseline="0"/>
            <a:t>https://www.thebalance.com/state-income-tax-rates-3193320</a:t>
          </a:r>
        </a:p>
      </xdr:txBody>
    </xdr:sp>
    <xdr:clientData/>
  </xdr:twoCellAnchor>
  <xdr:twoCellAnchor>
    <xdr:from>
      <xdr:col>17</xdr:col>
      <xdr:colOff>240030</xdr:colOff>
      <xdr:row>87</xdr:row>
      <xdr:rowOff>87630</xdr:rowOff>
    </xdr:from>
    <xdr:to>
      <xdr:col>23</xdr:col>
      <xdr:colOff>558165</xdr:colOff>
      <xdr:row>91</xdr:row>
      <xdr:rowOff>167640</xdr:rowOff>
    </xdr:to>
    <xdr:sp macro="" textlink="">
      <xdr:nvSpPr>
        <xdr:cNvPr id="7" name="TextBox 6">
          <a:hlinkClick xmlns:r="http://schemas.openxmlformats.org/officeDocument/2006/relationships" r:id="rId3"/>
          <a:extLst>
            <a:ext uri="{FF2B5EF4-FFF2-40B4-BE49-F238E27FC236}">
              <a16:creationId xmlns:a16="http://schemas.microsoft.com/office/drawing/2014/main" id="{C467BF5A-F98B-4014-A9F9-0D944FE5B36A}"/>
            </a:ext>
          </a:extLst>
        </xdr:cNvPr>
        <xdr:cNvSpPr txBox="1"/>
      </xdr:nvSpPr>
      <xdr:spPr>
        <a:xfrm>
          <a:off x="12917805" y="16118205"/>
          <a:ext cx="3975735" cy="8039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baseline="0"/>
            <a:t>Social Security Survivor Benefits</a:t>
          </a:r>
        </a:p>
        <a:p>
          <a:r>
            <a:rPr lang="en-US" sz="1100" baseline="0"/>
            <a:t>Social Security survivor benefits are not adjusted. Actual survivor benefits depend on many factors (e.g. age and remarriage status).</a:t>
          </a:r>
        </a:p>
        <a:p>
          <a:r>
            <a:rPr lang="en-US" sz="1100" baseline="0"/>
            <a:t>https://www.ssa.gov/benefits/survivors/ifyou.html</a:t>
          </a:r>
        </a:p>
      </xdr:txBody>
    </xdr:sp>
    <xdr:clientData/>
  </xdr:twoCellAnchor>
  <xdr:twoCellAnchor>
    <xdr:from>
      <xdr:col>15</xdr:col>
      <xdr:colOff>459105</xdr:colOff>
      <xdr:row>25</xdr:row>
      <xdr:rowOff>152400</xdr:rowOff>
    </xdr:from>
    <xdr:to>
      <xdr:col>22</xdr:col>
      <xdr:colOff>190500</xdr:colOff>
      <xdr:row>40</xdr:row>
      <xdr:rowOff>131445</xdr:rowOff>
    </xdr:to>
    <xdr:sp macro="" textlink="">
      <xdr:nvSpPr>
        <xdr:cNvPr id="8" name="TextBox 7">
          <a:extLst>
            <a:ext uri="{FF2B5EF4-FFF2-40B4-BE49-F238E27FC236}">
              <a16:creationId xmlns:a16="http://schemas.microsoft.com/office/drawing/2014/main" id="{569D8628-CFCF-4C01-AC4C-3369F8B72CF1}"/>
            </a:ext>
          </a:extLst>
        </xdr:cNvPr>
        <xdr:cNvSpPr txBox="1"/>
      </xdr:nvSpPr>
      <xdr:spPr>
        <a:xfrm>
          <a:off x="11908155" y="6105525"/>
          <a:ext cx="4008120" cy="26936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baseline="0"/>
            <a:t>Investment Calculations on the Projections worksheet</a:t>
          </a:r>
          <a:endParaRPr lang="en-US" sz="1100" u="none"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u="none" baseline="0"/>
            <a:t>Annual interest is applied to the beginning balance of each year.  You will enter your estimated annual interest on the Projections worksheet cells H1 (pre-retirement interest rate) and H2 (post-retirement interest rate).</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0" u="none" baseline="0"/>
            <a:t>Annual investments are applied at the end of each year, as if the investments are made on the last day of the year. This is a form of conservative estimating. You will enter your annual invesments for each investment on the Projections worksheet row 4.</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0" u="none" baseline="0"/>
            <a:t>Annual investments stop whenever one person retires or dies. This is a form of conservative estimating based on an assumption that money may not be available for investing after one of these events. </a:t>
          </a:r>
        </a:p>
      </xdr:txBody>
    </xdr:sp>
    <xdr:clientData/>
  </xdr:twoCellAnchor>
  <xdr:twoCellAnchor>
    <xdr:from>
      <xdr:col>10</xdr:col>
      <xdr:colOff>66675</xdr:colOff>
      <xdr:row>44</xdr:row>
      <xdr:rowOff>190500</xdr:rowOff>
    </xdr:from>
    <xdr:to>
      <xdr:col>16</xdr:col>
      <xdr:colOff>401955</xdr:colOff>
      <xdr:row>49</xdr:row>
      <xdr:rowOff>142875</xdr:rowOff>
    </xdr:to>
    <xdr:sp macro="" textlink="">
      <xdr:nvSpPr>
        <xdr:cNvPr id="9" name="TextBox 8">
          <a:hlinkClick xmlns:r="http://schemas.openxmlformats.org/officeDocument/2006/relationships" r:id="rId4"/>
          <a:extLst>
            <a:ext uri="{FF2B5EF4-FFF2-40B4-BE49-F238E27FC236}">
              <a16:creationId xmlns:a16="http://schemas.microsoft.com/office/drawing/2014/main" id="{B602E676-A401-4FA6-BEB6-6EA16C17AEC7}"/>
            </a:ext>
          </a:extLst>
        </xdr:cNvPr>
        <xdr:cNvSpPr txBox="1"/>
      </xdr:nvSpPr>
      <xdr:spPr>
        <a:xfrm>
          <a:off x="8467725" y="8296275"/>
          <a:ext cx="3992880" cy="90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baseline="0"/>
            <a:t>Mortality table</a:t>
          </a:r>
          <a:endParaRPr lang="en-US" sz="1100" u="none"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u="none" baseline="0"/>
            <a:t>You can use the Social Securities' Actuarial Life Table to calculate your estimated age at death. See https://www.ssa.gov/oact/STATS/table4c6.html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348615</xdr:colOff>
      <xdr:row>1</xdr:row>
      <xdr:rowOff>47620</xdr:rowOff>
    </xdr:from>
    <xdr:to>
      <xdr:col>11</xdr:col>
      <xdr:colOff>257175</xdr:colOff>
      <xdr:row>653</xdr:row>
      <xdr:rowOff>47625</xdr:rowOff>
    </xdr:to>
    <xdr:sp macro="" textlink="">
      <xdr:nvSpPr>
        <xdr:cNvPr id="2" name="TextBox 1">
          <a:extLst>
            <a:ext uri="{FF2B5EF4-FFF2-40B4-BE49-F238E27FC236}">
              <a16:creationId xmlns:a16="http://schemas.microsoft.com/office/drawing/2014/main" id="{B946DA7F-3740-4B0F-BA02-4AA4DCEE5AD3}"/>
            </a:ext>
          </a:extLst>
        </xdr:cNvPr>
        <xdr:cNvSpPr txBox="1"/>
      </xdr:nvSpPr>
      <xdr:spPr>
        <a:xfrm>
          <a:off x="350520" y="230500"/>
          <a:ext cx="6610350" cy="1179957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GNU GENERAL PUBLIC LICENSE</a:t>
          </a:r>
        </a:p>
        <a:p>
          <a:r>
            <a:rPr lang="en-US" sz="1100"/>
            <a:t>                       Version 3, 29 June 2007</a:t>
          </a:r>
        </a:p>
        <a:p>
          <a:endParaRPr lang="en-US" sz="1100"/>
        </a:p>
        <a:p>
          <a:r>
            <a:rPr lang="en-US" sz="1100"/>
            <a:t> Copyright (C) 2007 Free Software Foundation, Inc. &lt;https://fsf.org/&gt;</a:t>
          </a:r>
        </a:p>
        <a:p>
          <a:r>
            <a:rPr lang="en-US" sz="1100"/>
            <a:t> Everyone is permitted to copy and distribute verbatim copies</a:t>
          </a:r>
        </a:p>
        <a:p>
          <a:r>
            <a:rPr lang="en-US" sz="1100"/>
            <a:t> of this license document, but changing it is not allowed.</a:t>
          </a:r>
        </a:p>
        <a:p>
          <a:endParaRPr lang="en-US" sz="1100"/>
        </a:p>
        <a:p>
          <a:r>
            <a:rPr lang="en-US" sz="1100"/>
            <a:t>                            Preamble</a:t>
          </a:r>
        </a:p>
        <a:p>
          <a:endParaRPr lang="en-US" sz="1100"/>
        </a:p>
        <a:p>
          <a:r>
            <a:rPr lang="en-US" sz="1100"/>
            <a:t>  The GNU General Public License is a free, copyleft license for</a:t>
          </a:r>
        </a:p>
        <a:p>
          <a:r>
            <a:rPr lang="en-US" sz="1100"/>
            <a:t>software and other kinds of works.</a:t>
          </a:r>
        </a:p>
        <a:p>
          <a:endParaRPr lang="en-US" sz="1100"/>
        </a:p>
        <a:p>
          <a:r>
            <a:rPr lang="en-US" sz="1100"/>
            <a:t>  The licenses for most software and other practical works are designed</a:t>
          </a:r>
        </a:p>
        <a:p>
          <a:r>
            <a:rPr lang="en-US" sz="1100"/>
            <a:t>to take away your freedom to share and change the works.  By contrast,</a:t>
          </a:r>
        </a:p>
        <a:p>
          <a:r>
            <a:rPr lang="en-US" sz="1100"/>
            <a:t>the GNU General Public License is intended to guarantee your freedom to</a:t>
          </a:r>
        </a:p>
        <a:p>
          <a:r>
            <a:rPr lang="en-US" sz="1100"/>
            <a:t>share and change all versions of a program--to make sure it remains free</a:t>
          </a:r>
        </a:p>
        <a:p>
          <a:r>
            <a:rPr lang="en-US" sz="1100"/>
            <a:t>software for all its users.  We, the Free Software Foundation, use the</a:t>
          </a:r>
        </a:p>
        <a:p>
          <a:r>
            <a:rPr lang="en-US" sz="1100"/>
            <a:t>GNU General Public License for most of our software; it applies also to</a:t>
          </a:r>
        </a:p>
        <a:p>
          <a:r>
            <a:rPr lang="en-US" sz="1100"/>
            <a:t>any other work released this way by its authors.  You can apply it to</a:t>
          </a:r>
        </a:p>
        <a:p>
          <a:r>
            <a:rPr lang="en-US" sz="1100"/>
            <a:t>your programs, too.</a:t>
          </a:r>
        </a:p>
        <a:p>
          <a:endParaRPr lang="en-US" sz="1100"/>
        </a:p>
        <a:p>
          <a:r>
            <a:rPr lang="en-US" sz="1100"/>
            <a:t>  When we speak of free software, we are referring to freedom, not</a:t>
          </a:r>
        </a:p>
        <a:p>
          <a:r>
            <a:rPr lang="en-US" sz="1100"/>
            <a:t>price.  Our General Public Licenses are designed to make sure that you</a:t>
          </a:r>
        </a:p>
        <a:p>
          <a:r>
            <a:rPr lang="en-US" sz="1100"/>
            <a:t>have the freedom to distribute copies of free software (and charge for</a:t>
          </a:r>
        </a:p>
        <a:p>
          <a:r>
            <a:rPr lang="en-US" sz="1100"/>
            <a:t>them if you wish), that you receive source code or can get it if you</a:t>
          </a:r>
        </a:p>
        <a:p>
          <a:r>
            <a:rPr lang="en-US" sz="1100"/>
            <a:t>want it, that you can change the software or use pieces of it in new</a:t>
          </a:r>
        </a:p>
        <a:p>
          <a:r>
            <a:rPr lang="en-US" sz="1100"/>
            <a:t>free programs, and that you know you can do these things.</a:t>
          </a:r>
        </a:p>
        <a:p>
          <a:endParaRPr lang="en-US" sz="1100"/>
        </a:p>
        <a:p>
          <a:r>
            <a:rPr lang="en-US" sz="1100"/>
            <a:t>  To protect your rights, we need to prevent others from denying you</a:t>
          </a:r>
        </a:p>
        <a:p>
          <a:r>
            <a:rPr lang="en-US" sz="1100"/>
            <a:t>these rights or asking you to surrender the rights.  Therefore, you have</a:t>
          </a:r>
        </a:p>
        <a:p>
          <a:r>
            <a:rPr lang="en-US" sz="1100"/>
            <a:t>certain responsibilities if you distribute copies of the software, or if</a:t>
          </a:r>
        </a:p>
        <a:p>
          <a:r>
            <a:rPr lang="en-US" sz="1100"/>
            <a:t>you modify it: responsibilities to respect the freedom of others.</a:t>
          </a:r>
        </a:p>
        <a:p>
          <a:endParaRPr lang="en-US" sz="1100"/>
        </a:p>
        <a:p>
          <a:r>
            <a:rPr lang="en-US" sz="1100"/>
            <a:t>  For example, if you distribute copies of such a program, whether</a:t>
          </a:r>
        </a:p>
        <a:p>
          <a:r>
            <a:rPr lang="en-US" sz="1100"/>
            <a:t>gratis or for a fee, you must pass on to the recipients the same</a:t>
          </a:r>
        </a:p>
        <a:p>
          <a:r>
            <a:rPr lang="en-US" sz="1100"/>
            <a:t>freedoms that you received.  You must make sure that they, too, receive</a:t>
          </a:r>
        </a:p>
        <a:p>
          <a:r>
            <a:rPr lang="en-US" sz="1100"/>
            <a:t>or can get the source code.  And you must show them these terms so they</a:t>
          </a:r>
        </a:p>
        <a:p>
          <a:r>
            <a:rPr lang="en-US" sz="1100"/>
            <a:t>know their rights.</a:t>
          </a:r>
        </a:p>
        <a:p>
          <a:endParaRPr lang="en-US" sz="1100"/>
        </a:p>
        <a:p>
          <a:r>
            <a:rPr lang="en-US" sz="1100"/>
            <a:t>  Developers that use the GNU GPL protect your rights with two steps:</a:t>
          </a:r>
        </a:p>
        <a:p>
          <a:r>
            <a:rPr lang="en-US" sz="1100"/>
            <a:t>(1) assert copyright on the software, and (2) offer you this License</a:t>
          </a:r>
        </a:p>
        <a:p>
          <a:r>
            <a:rPr lang="en-US" sz="1100"/>
            <a:t>giving you legal permission to copy, distribute and/or modify it.</a:t>
          </a:r>
        </a:p>
        <a:p>
          <a:endParaRPr lang="en-US" sz="1100"/>
        </a:p>
        <a:p>
          <a:r>
            <a:rPr lang="en-US" sz="1100"/>
            <a:t>  For the developers' and authors' protection, the GPL clearly explains</a:t>
          </a:r>
        </a:p>
        <a:p>
          <a:r>
            <a:rPr lang="en-US" sz="1100"/>
            <a:t>that there is no warranty for this free software.  For both users' and</a:t>
          </a:r>
        </a:p>
        <a:p>
          <a:r>
            <a:rPr lang="en-US" sz="1100"/>
            <a:t>authors' sake, the GPL requires that modified versions be marked as</a:t>
          </a:r>
        </a:p>
        <a:p>
          <a:r>
            <a:rPr lang="en-US" sz="1100"/>
            <a:t>changed, so that their problems will not be attributed erroneously to</a:t>
          </a:r>
        </a:p>
        <a:p>
          <a:r>
            <a:rPr lang="en-US" sz="1100"/>
            <a:t>authors of previous versions.</a:t>
          </a:r>
        </a:p>
        <a:p>
          <a:endParaRPr lang="en-US" sz="1100"/>
        </a:p>
        <a:p>
          <a:r>
            <a:rPr lang="en-US" sz="1100"/>
            <a:t>  Some devices are designed to deny users access to install or run</a:t>
          </a:r>
        </a:p>
        <a:p>
          <a:r>
            <a:rPr lang="en-US" sz="1100"/>
            <a:t>modified versions of the software inside them, although the manufacturer</a:t>
          </a:r>
        </a:p>
        <a:p>
          <a:r>
            <a:rPr lang="en-US" sz="1100"/>
            <a:t>can do so.  This is fundamentally incompatible with the aim of</a:t>
          </a:r>
        </a:p>
        <a:p>
          <a:r>
            <a:rPr lang="en-US" sz="1100"/>
            <a:t>protecting users' freedom to change the software.  The systematic</a:t>
          </a:r>
        </a:p>
        <a:p>
          <a:r>
            <a:rPr lang="en-US" sz="1100"/>
            <a:t>pattern of such abuse occurs in the area of products for individuals to</a:t>
          </a:r>
        </a:p>
        <a:p>
          <a:r>
            <a:rPr lang="en-US" sz="1100"/>
            <a:t>use, which is precisely where it is most unacceptable.  Therefore, we</a:t>
          </a:r>
        </a:p>
        <a:p>
          <a:r>
            <a:rPr lang="en-US" sz="1100"/>
            <a:t>have designed this version of the GPL to prohibit the practice for those</a:t>
          </a:r>
        </a:p>
        <a:p>
          <a:r>
            <a:rPr lang="en-US" sz="1100"/>
            <a:t>products.  If such problems arise substantially in other domains, we</a:t>
          </a:r>
        </a:p>
        <a:p>
          <a:r>
            <a:rPr lang="en-US" sz="1100"/>
            <a:t>stand ready to extend this provision to those domains in future versions</a:t>
          </a:r>
        </a:p>
        <a:p>
          <a:r>
            <a:rPr lang="en-US" sz="1100"/>
            <a:t>of the GPL, as needed to protect the freedom of users.</a:t>
          </a:r>
        </a:p>
        <a:p>
          <a:endParaRPr lang="en-US" sz="1100"/>
        </a:p>
        <a:p>
          <a:r>
            <a:rPr lang="en-US" sz="1100"/>
            <a:t>  Finally, every program is threatened constantly by software patents.</a:t>
          </a:r>
        </a:p>
        <a:p>
          <a:r>
            <a:rPr lang="en-US" sz="1100"/>
            <a:t>States should not allow patents to restrict development and use of</a:t>
          </a:r>
        </a:p>
        <a:p>
          <a:r>
            <a:rPr lang="en-US" sz="1100"/>
            <a:t>software on general-purpose computers, but in those that do, we wish to</a:t>
          </a:r>
        </a:p>
        <a:p>
          <a:r>
            <a:rPr lang="en-US" sz="1100"/>
            <a:t>avoid the special danger that patents applied to a free program could</a:t>
          </a:r>
        </a:p>
        <a:p>
          <a:r>
            <a:rPr lang="en-US" sz="1100"/>
            <a:t>make it effectively proprietary.  To prevent this, the GPL assures that</a:t>
          </a:r>
        </a:p>
        <a:p>
          <a:r>
            <a:rPr lang="en-US" sz="1100"/>
            <a:t>patents cannot be used to render the program non-free.</a:t>
          </a:r>
        </a:p>
        <a:p>
          <a:endParaRPr lang="en-US" sz="1100"/>
        </a:p>
        <a:p>
          <a:r>
            <a:rPr lang="en-US" sz="1100"/>
            <a:t>  The precise terms and conditions for copying, distribution and</a:t>
          </a:r>
        </a:p>
        <a:p>
          <a:r>
            <a:rPr lang="en-US" sz="1100"/>
            <a:t>modification follow.</a:t>
          </a:r>
        </a:p>
        <a:p>
          <a:endParaRPr lang="en-US" sz="1100"/>
        </a:p>
        <a:p>
          <a:r>
            <a:rPr lang="en-US" sz="1100"/>
            <a:t>                       TERMS AND CONDITIONS</a:t>
          </a:r>
        </a:p>
        <a:p>
          <a:endParaRPr lang="en-US" sz="1100"/>
        </a:p>
        <a:p>
          <a:r>
            <a:rPr lang="en-US" sz="1100"/>
            <a:t>  0. Definitions.</a:t>
          </a:r>
        </a:p>
        <a:p>
          <a:endParaRPr lang="en-US" sz="1100"/>
        </a:p>
        <a:p>
          <a:r>
            <a:rPr lang="en-US" sz="1100"/>
            <a:t>  "This License" refers to version 3 of the GNU General Public License.</a:t>
          </a:r>
        </a:p>
        <a:p>
          <a:endParaRPr lang="en-US" sz="1100"/>
        </a:p>
        <a:p>
          <a:r>
            <a:rPr lang="en-US" sz="1100"/>
            <a:t>  "Copyright" also means copyright-like laws that apply to other kinds of</a:t>
          </a:r>
        </a:p>
        <a:p>
          <a:r>
            <a:rPr lang="en-US" sz="1100"/>
            <a:t>works, such as semiconductor masks.</a:t>
          </a:r>
        </a:p>
        <a:p>
          <a:endParaRPr lang="en-US" sz="1100"/>
        </a:p>
        <a:p>
          <a:r>
            <a:rPr lang="en-US" sz="1100"/>
            <a:t>  "The Program" refers to any copyrightable work licensed under this</a:t>
          </a:r>
        </a:p>
        <a:p>
          <a:r>
            <a:rPr lang="en-US" sz="1100"/>
            <a:t>License.  Each licensee is addressed as "you".  "Licensees" and</a:t>
          </a:r>
        </a:p>
        <a:p>
          <a:r>
            <a:rPr lang="en-US" sz="1100"/>
            <a:t>"recipients" may be individuals or organizations.</a:t>
          </a:r>
        </a:p>
        <a:p>
          <a:endParaRPr lang="en-US" sz="1100"/>
        </a:p>
        <a:p>
          <a:r>
            <a:rPr lang="en-US" sz="1100"/>
            <a:t>  To "modify" a work means to copy from or adapt all or part of the work</a:t>
          </a:r>
        </a:p>
        <a:p>
          <a:r>
            <a:rPr lang="en-US" sz="1100"/>
            <a:t>in a fashion requiring copyright permission, other than the making of an</a:t>
          </a:r>
        </a:p>
        <a:p>
          <a:r>
            <a:rPr lang="en-US" sz="1100"/>
            <a:t>exact copy.  The resulting work is called a "modified version" of the</a:t>
          </a:r>
        </a:p>
        <a:p>
          <a:r>
            <a:rPr lang="en-US" sz="1100"/>
            <a:t>earlier work or a work "based on" the earlier work.</a:t>
          </a:r>
        </a:p>
        <a:p>
          <a:endParaRPr lang="en-US" sz="1100"/>
        </a:p>
        <a:p>
          <a:r>
            <a:rPr lang="en-US" sz="1100"/>
            <a:t>  A "covered work" means either the unmodified Program or a work based</a:t>
          </a:r>
        </a:p>
        <a:p>
          <a:r>
            <a:rPr lang="en-US" sz="1100"/>
            <a:t>on the Program.</a:t>
          </a:r>
        </a:p>
        <a:p>
          <a:endParaRPr lang="en-US" sz="1100"/>
        </a:p>
        <a:p>
          <a:r>
            <a:rPr lang="en-US" sz="1100"/>
            <a:t>  To "propagate" a work means to do anything with it that, without</a:t>
          </a:r>
        </a:p>
        <a:p>
          <a:r>
            <a:rPr lang="en-US" sz="1100"/>
            <a:t>permission, would make you directly or secondarily liable for</a:t>
          </a:r>
        </a:p>
        <a:p>
          <a:r>
            <a:rPr lang="en-US" sz="1100"/>
            <a:t>infringement under applicable copyright law, except executing it on a</a:t>
          </a:r>
        </a:p>
        <a:p>
          <a:r>
            <a:rPr lang="en-US" sz="1100"/>
            <a:t>computer or modifying a private copy.  Propagation includes copying,</a:t>
          </a:r>
        </a:p>
        <a:p>
          <a:r>
            <a:rPr lang="en-US" sz="1100"/>
            <a:t>distribution (with or without modification), making available to the</a:t>
          </a:r>
        </a:p>
        <a:p>
          <a:r>
            <a:rPr lang="en-US" sz="1100"/>
            <a:t>public, and in some countries other activities as well.</a:t>
          </a:r>
        </a:p>
        <a:p>
          <a:endParaRPr lang="en-US" sz="1100"/>
        </a:p>
        <a:p>
          <a:r>
            <a:rPr lang="en-US" sz="1100"/>
            <a:t>  To "convey" a work means any kind of propagation that enables other</a:t>
          </a:r>
        </a:p>
        <a:p>
          <a:r>
            <a:rPr lang="en-US" sz="1100"/>
            <a:t>parties to make or receive copies.  Mere interaction with a user through</a:t>
          </a:r>
        </a:p>
        <a:p>
          <a:r>
            <a:rPr lang="en-US" sz="1100"/>
            <a:t>a computer network, with no transfer of a copy, is not conveying.</a:t>
          </a:r>
        </a:p>
        <a:p>
          <a:endParaRPr lang="en-US" sz="1100"/>
        </a:p>
        <a:p>
          <a:r>
            <a:rPr lang="en-US" sz="1100"/>
            <a:t>  An interactive user interface displays "Appropriate Legal Notices"</a:t>
          </a:r>
        </a:p>
        <a:p>
          <a:r>
            <a:rPr lang="en-US" sz="1100"/>
            <a:t>to the extent that it includes a convenient and prominently visible</a:t>
          </a:r>
        </a:p>
        <a:p>
          <a:r>
            <a:rPr lang="en-US" sz="1100"/>
            <a:t>feature that (1) displays an appropriate copyright notice, and (2)</a:t>
          </a:r>
        </a:p>
        <a:p>
          <a:r>
            <a:rPr lang="en-US" sz="1100"/>
            <a:t>tells the user that there is no warranty for the work (except to the</a:t>
          </a:r>
        </a:p>
        <a:p>
          <a:r>
            <a:rPr lang="en-US" sz="1100"/>
            <a:t>extent that warranties are provided), that licensees may convey the</a:t>
          </a:r>
        </a:p>
        <a:p>
          <a:r>
            <a:rPr lang="en-US" sz="1100"/>
            <a:t>work under this License, and how to view a copy of this License.  If</a:t>
          </a:r>
        </a:p>
        <a:p>
          <a:r>
            <a:rPr lang="en-US" sz="1100"/>
            <a:t>the interface presents a list of user commands or options, such as a</a:t>
          </a:r>
        </a:p>
        <a:p>
          <a:r>
            <a:rPr lang="en-US" sz="1100"/>
            <a:t>menu, a prominent item in the list meets this criterion.</a:t>
          </a:r>
        </a:p>
        <a:p>
          <a:endParaRPr lang="en-US" sz="1100"/>
        </a:p>
        <a:p>
          <a:r>
            <a:rPr lang="en-US" sz="1100"/>
            <a:t>  1. Source Code.</a:t>
          </a:r>
        </a:p>
        <a:p>
          <a:endParaRPr lang="en-US" sz="1100"/>
        </a:p>
        <a:p>
          <a:r>
            <a:rPr lang="en-US" sz="1100"/>
            <a:t>  The "source code" for a work means the preferred form of the work</a:t>
          </a:r>
        </a:p>
        <a:p>
          <a:r>
            <a:rPr lang="en-US" sz="1100"/>
            <a:t>for making modifications to it.  "Object code" means any non-source</a:t>
          </a:r>
        </a:p>
        <a:p>
          <a:r>
            <a:rPr lang="en-US" sz="1100"/>
            <a:t>form of a work.</a:t>
          </a:r>
        </a:p>
        <a:p>
          <a:endParaRPr lang="en-US" sz="1100"/>
        </a:p>
        <a:p>
          <a:r>
            <a:rPr lang="en-US" sz="1100"/>
            <a:t>  A "Standard Interface" means an interface that either is an official</a:t>
          </a:r>
        </a:p>
        <a:p>
          <a:r>
            <a:rPr lang="en-US" sz="1100"/>
            <a:t>standard defined by a recognized standards body, or, in the case of</a:t>
          </a:r>
        </a:p>
        <a:p>
          <a:r>
            <a:rPr lang="en-US" sz="1100"/>
            <a:t>interfaces specified for a particular programming language, one that</a:t>
          </a:r>
        </a:p>
        <a:p>
          <a:r>
            <a:rPr lang="en-US" sz="1100"/>
            <a:t>is widely used among developers working in that language.</a:t>
          </a:r>
        </a:p>
        <a:p>
          <a:endParaRPr lang="en-US" sz="1100"/>
        </a:p>
        <a:p>
          <a:r>
            <a:rPr lang="en-US" sz="1100"/>
            <a:t>  The "System Libraries" of an executable work include anything, other</a:t>
          </a:r>
        </a:p>
        <a:p>
          <a:r>
            <a:rPr lang="en-US" sz="1100"/>
            <a:t>than the work as a whole, that (a) is included in the normal form of</a:t>
          </a:r>
        </a:p>
        <a:p>
          <a:r>
            <a:rPr lang="en-US" sz="1100"/>
            <a:t>packaging a Major Component, but which is not part of that Major</a:t>
          </a:r>
        </a:p>
        <a:p>
          <a:r>
            <a:rPr lang="en-US" sz="1100"/>
            <a:t>Component, and (b) serves only to enable use of the work with that</a:t>
          </a:r>
        </a:p>
        <a:p>
          <a:r>
            <a:rPr lang="en-US" sz="1100"/>
            <a:t>Major Component, or to implement a Standard Interface for which an</a:t>
          </a:r>
        </a:p>
        <a:p>
          <a:r>
            <a:rPr lang="en-US" sz="1100"/>
            <a:t>implementation is available to the public in source code form.  A</a:t>
          </a:r>
        </a:p>
        <a:p>
          <a:r>
            <a:rPr lang="en-US" sz="1100"/>
            <a:t>"Major Component", in this context, means a major essential component</a:t>
          </a:r>
        </a:p>
        <a:p>
          <a:r>
            <a:rPr lang="en-US" sz="1100"/>
            <a:t>(kernel, window system, and so on) of the specific operating system</a:t>
          </a:r>
        </a:p>
        <a:p>
          <a:r>
            <a:rPr lang="en-US" sz="1100"/>
            <a:t>(if any) on which the executable work runs, or a compiler used to</a:t>
          </a:r>
        </a:p>
        <a:p>
          <a:r>
            <a:rPr lang="en-US" sz="1100"/>
            <a:t>produce the work, or an object code interpreter used to run it.</a:t>
          </a:r>
        </a:p>
        <a:p>
          <a:endParaRPr lang="en-US" sz="1100"/>
        </a:p>
        <a:p>
          <a:r>
            <a:rPr lang="en-US" sz="1100"/>
            <a:t>  The "Corresponding Source" for a work in object code form means all</a:t>
          </a:r>
        </a:p>
        <a:p>
          <a:r>
            <a:rPr lang="en-US" sz="1100"/>
            <a:t>the source code needed to generate, install, and (for an executable</a:t>
          </a:r>
        </a:p>
        <a:p>
          <a:r>
            <a:rPr lang="en-US" sz="1100"/>
            <a:t>work) run the object code and to modify the work, including scripts to</a:t>
          </a:r>
        </a:p>
        <a:p>
          <a:r>
            <a:rPr lang="en-US" sz="1100"/>
            <a:t>control those activities.  However, it does not include the work's</a:t>
          </a:r>
        </a:p>
        <a:p>
          <a:r>
            <a:rPr lang="en-US" sz="1100"/>
            <a:t>System Libraries, or general-purpose tools or generally available free</a:t>
          </a:r>
        </a:p>
        <a:p>
          <a:r>
            <a:rPr lang="en-US" sz="1100"/>
            <a:t>programs which are used unmodified in performing those activities but</a:t>
          </a:r>
        </a:p>
        <a:p>
          <a:r>
            <a:rPr lang="en-US" sz="1100"/>
            <a:t>which are not part of the work.  For example, Corresponding Source</a:t>
          </a:r>
        </a:p>
        <a:p>
          <a:r>
            <a:rPr lang="en-US" sz="1100"/>
            <a:t>includes interface definition files associated with source files for</a:t>
          </a:r>
        </a:p>
        <a:p>
          <a:r>
            <a:rPr lang="en-US" sz="1100"/>
            <a:t>the work, and the source code for shared libraries and dynamically</a:t>
          </a:r>
        </a:p>
        <a:p>
          <a:r>
            <a:rPr lang="en-US" sz="1100"/>
            <a:t>linked subprograms that the work is specifically designed to require,</a:t>
          </a:r>
        </a:p>
        <a:p>
          <a:r>
            <a:rPr lang="en-US" sz="1100"/>
            <a:t>such as by intimate data communication or control flow between those</a:t>
          </a:r>
        </a:p>
        <a:p>
          <a:r>
            <a:rPr lang="en-US" sz="1100"/>
            <a:t>subprograms and other parts of the work.</a:t>
          </a:r>
        </a:p>
        <a:p>
          <a:endParaRPr lang="en-US" sz="1100"/>
        </a:p>
        <a:p>
          <a:r>
            <a:rPr lang="en-US" sz="1100"/>
            <a:t>  The Corresponding Source need not include anything that users</a:t>
          </a:r>
        </a:p>
        <a:p>
          <a:r>
            <a:rPr lang="en-US" sz="1100"/>
            <a:t>can regenerate automatically from other parts of the Corresponding</a:t>
          </a:r>
        </a:p>
        <a:p>
          <a:r>
            <a:rPr lang="en-US" sz="1100"/>
            <a:t>Source.</a:t>
          </a:r>
        </a:p>
        <a:p>
          <a:endParaRPr lang="en-US" sz="1100"/>
        </a:p>
        <a:p>
          <a:r>
            <a:rPr lang="en-US" sz="1100"/>
            <a:t>  The Corresponding Source for a work in source code form is that</a:t>
          </a:r>
        </a:p>
        <a:p>
          <a:r>
            <a:rPr lang="en-US" sz="1100"/>
            <a:t>same work.</a:t>
          </a:r>
        </a:p>
        <a:p>
          <a:endParaRPr lang="en-US" sz="1100"/>
        </a:p>
        <a:p>
          <a:r>
            <a:rPr lang="en-US" sz="1100"/>
            <a:t>  2. Basic Permissions.</a:t>
          </a:r>
        </a:p>
        <a:p>
          <a:endParaRPr lang="en-US" sz="1100"/>
        </a:p>
        <a:p>
          <a:r>
            <a:rPr lang="en-US" sz="1100"/>
            <a:t>  All rights granted under this License are granted for the term of</a:t>
          </a:r>
        </a:p>
        <a:p>
          <a:r>
            <a:rPr lang="en-US" sz="1100"/>
            <a:t>copyright on the Program, and are irrevocable provided the stated</a:t>
          </a:r>
        </a:p>
        <a:p>
          <a:r>
            <a:rPr lang="en-US" sz="1100"/>
            <a:t>conditions are met.  This License explicitly affirms your unlimited</a:t>
          </a:r>
        </a:p>
        <a:p>
          <a:r>
            <a:rPr lang="en-US" sz="1100"/>
            <a:t>permission to run the unmodified Program.  The output from running a</a:t>
          </a:r>
        </a:p>
        <a:p>
          <a:r>
            <a:rPr lang="en-US" sz="1100"/>
            <a:t>covered work is covered by this License only if the output, given its</a:t>
          </a:r>
        </a:p>
        <a:p>
          <a:r>
            <a:rPr lang="en-US" sz="1100"/>
            <a:t>content, constitutes a covered work.  This License acknowledges your</a:t>
          </a:r>
        </a:p>
        <a:p>
          <a:r>
            <a:rPr lang="en-US" sz="1100"/>
            <a:t>rights of fair use or other equivalent, as provided by copyright law.</a:t>
          </a:r>
        </a:p>
        <a:p>
          <a:endParaRPr lang="en-US" sz="1100"/>
        </a:p>
        <a:p>
          <a:r>
            <a:rPr lang="en-US" sz="1100"/>
            <a:t>  You may make, run and propagate covered works that you do not</a:t>
          </a:r>
        </a:p>
        <a:p>
          <a:r>
            <a:rPr lang="en-US" sz="1100"/>
            <a:t>convey, without conditions so long as your license otherwise remains</a:t>
          </a:r>
        </a:p>
        <a:p>
          <a:r>
            <a:rPr lang="en-US" sz="1100"/>
            <a:t>in force.  You may convey covered works to others for the sole purpose</a:t>
          </a:r>
        </a:p>
        <a:p>
          <a:r>
            <a:rPr lang="en-US" sz="1100"/>
            <a:t>of having them make modifications exclusively for you, or provide you</a:t>
          </a:r>
        </a:p>
        <a:p>
          <a:r>
            <a:rPr lang="en-US" sz="1100"/>
            <a:t>with facilities for running those works, provided that you comply with</a:t>
          </a:r>
        </a:p>
        <a:p>
          <a:r>
            <a:rPr lang="en-US" sz="1100"/>
            <a:t>the terms of this License in conveying all material for which you do</a:t>
          </a:r>
        </a:p>
        <a:p>
          <a:r>
            <a:rPr lang="en-US" sz="1100"/>
            <a:t>not control copyright.  Those thus making or running the covered works</a:t>
          </a:r>
        </a:p>
        <a:p>
          <a:r>
            <a:rPr lang="en-US" sz="1100"/>
            <a:t>for you must do so exclusively on your behalf, under your direction</a:t>
          </a:r>
        </a:p>
        <a:p>
          <a:r>
            <a:rPr lang="en-US" sz="1100"/>
            <a:t>and control, on terms that prohibit them from making any copies of</a:t>
          </a:r>
        </a:p>
        <a:p>
          <a:r>
            <a:rPr lang="en-US" sz="1100"/>
            <a:t>your copyrighted material outside their relationship with you.</a:t>
          </a:r>
        </a:p>
        <a:p>
          <a:endParaRPr lang="en-US" sz="1100"/>
        </a:p>
        <a:p>
          <a:r>
            <a:rPr lang="en-US" sz="1100"/>
            <a:t>  Conveying under any other circumstances is permitted solely under</a:t>
          </a:r>
        </a:p>
        <a:p>
          <a:r>
            <a:rPr lang="en-US" sz="1100"/>
            <a:t>the conditions stated below.  Sublicensing is not allowed; section 10</a:t>
          </a:r>
        </a:p>
        <a:p>
          <a:r>
            <a:rPr lang="en-US" sz="1100"/>
            <a:t>makes it unnecessary.</a:t>
          </a:r>
        </a:p>
        <a:p>
          <a:endParaRPr lang="en-US" sz="1100"/>
        </a:p>
        <a:p>
          <a:r>
            <a:rPr lang="en-US" sz="1100"/>
            <a:t>  3. Protecting Users' Legal Rights From Anti-Circumvention Law.</a:t>
          </a:r>
        </a:p>
        <a:p>
          <a:endParaRPr lang="en-US" sz="1100"/>
        </a:p>
        <a:p>
          <a:r>
            <a:rPr lang="en-US" sz="1100"/>
            <a:t>  No covered work shall be deemed part of an effective technological</a:t>
          </a:r>
        </a:p>
        <a:p>
          <a:r>
            <a:rPr lang="en-US" sz="1100"/>
            <a:t>measure under any applicable law fulfilling obligations under article</a:t>
          </a:r>
        </a:p>
        <a:p>
          <a:r>
            <a:rPr lang="en-US" sz="1100"/>
            <a:t>11 of the WIPO copyright treaty adopted on 20 December 1996, or</a:t>
          </a:r>
        </a:p>
        <a:p>
          <a:r>
            <a:rPr lang="en-US" sz="1100"/>
            <a:t>similar laws prohibiting or restricting circumvention of such</a:t>
          </a:r>
        </a:p>
        <a:p>
          <a:r>
            <a:rPr lang="en-US" sz="1100"/>
            <a:t>measures.</a:t>
          </a:r>
        </a:p>
        <a:p>
          <a:endParaRPr lang="en-US" sz="1100"/>
        </a:p>
        <a:p>
          <a:r>
            <a:rPr lang="en-US" sz="1100"/>
            <a:t>  When you convey a covered work, you waive any legal power to forbid</a:t>
          </a:r>
        </a:p>
        <a:p>
          <a:r>
            <a:rPr lang="en-US" sz="1100"/>
            <a:t>circumvention of technological measures to the extent such circumvention</a:t>
          </a:r>
        </a:p>
        <a:p>
          <a:r>
            <a:rPr lang="en-US" sz="1100"/>
            <a:t>is effected by exercising rights under this License with respect to</a:t>
          </a:r>
        </a:p>
        <a:p>
          <a:r>
            <a:rPr lang="en-US" sz="1100"/>
            <a:t>the covered work, and you disclaim any intention to limit operation or</a:t>
          </a:r>
        </a:p>
        <a:p>
          <a:r>
            <a:rPr lang="en-US" sz="1100"/>
            <a:t>modification of the work as a means of enforcing, against the work's</a:t>
          </a:r>
        </a:p>
        <a:p>
          <a:r>
            <a:rPr lang="en-US" sz="1100"/>
            <a:t>users, your or third parties' legal rights to forbid circumvention of</a:t>
          </a:r>
        </a:p>
        <a:p>
          <a:r>
            <a:rPr lang="en-US" sz="1100"/>
            <a:t>technological measures.</a:t>
          </a:r>
        </a:p>
        <a:p>
          <a:endParaRPr lang="en-US" sz="1100"/>
        </a:p>
        <a:p>
          <a:r>
            <a:rPr lang="en-US" sz="1100"/>
            <a:t>  4. Conveying Verbatim Copies.</a:t>
          </a:r>
        </a:p>
        <a:p>
          <a:endParaRPr lang="en-US" sz="1100"/>
        </a:p>
        <a:p>
          <a:r>
            <a:rPr lang="en-US" sz="1100"/>
            <a:t>  You may convey verbatim copies of the Program's source code as you</a:t>
          </a:r>
        </a:p>
        <a:p>
          <a:r>
            <a:rPr lang="en-US" sz="1100"/>
            <a:t>receive it, in any medium, provided that you conspicuously and</a:t>
          </a:r>
        </a:p>
        <a:p>
          <a:r>
            <a:rPr lang="en-US" sz="1100"/>
            <a:t>appropriately publish on each copy an appropriate copyright notice;</a:t>
          </a:r>
        </a:p>
        <a:p>
          <a:r>
            <a:rPr lang="en-US" sz="1100"/>
            <a:t>keep intact all notices stating that this License and any</a:t>
          </a:r>
        </a:p>
        <a:p>
          <a:r>
            <a:rPr lang="en-US" sz="1100"/>
            <a:t>non-permissive terms added in accord with section 7 apply to the code;</a:t>
          </a:r>
        </a:p>
        <a:p>
          <a:r>
            <a:rPr lang="en-US" sz="1100"/>
            <a:t>keep intact all notices of the absence of any warranty; and give all</a:t>
          </a:r>
        </a:p>
        <a:p>
          <a:r>
            <a:rPr lang="en-US" sz="1100"/>
            <a:t>recipients a copy of this License along with the Program.</a:t>
          </a:r>
        </a:p>
        <a:p>
          <a:endParaRPr lang="en-US" sz="1100"/>
        </a:p>
        <a:p>
          <a:r>
            <a:rPr lang="en-US" sz="1100"/>
            <a:t>  You may charge any price or no price for each copy that you convey,</a:t>
          </a:r>
        </a:p>
        <a:p>
          <a:r>
            <a:rPr lang="en-US" sz="1100"/>
            <a:t>and you may offer support or warranty protection for a fee.</a:t>
          </a:r>
        </a:p>
        <a:p>
          <a:endParaRPr lang="en-US" sz="1100"/>
        </a:p>
        <a:p>
          <a:r>
            <a:rPr lang="en-US" sz="1100"/>
            <a:t>  5. Conveying Modified Source Versions.</a:t>
          </a:r>
        </a:p>
        <a:p>
          <a:endParaRPr lang="en-US" sz="1100"/>
        </a:p>
        <a:p>
          <a:r>
            <a:rPr lang="en-US" sz="1100"/>
            <a:t>  You may convey a work based on the Program, or the modifications to</a:t>
          </a:r>
        </a:p>
        <a:p>
          <a:r>
            <a:rPr lang="en-US" sz="1100"/>
            <a:t>produce it from the Program, in the form of source code under the</a:t>
          </a:r>
        </a:p>
        <a:p>
          <a:r>
            <a:rPr lang="en-US" sz="1100"/>
            <a:t>terms of section 4, provided that you also meet all of these conditions:</a:t>
          </a:r>
        </a:p>
        <a:p>
          <a:endParaRPr lang="en-US" sz="1100"/>
        </a:p>
        <a:p>
          <a:r>
            <a:rPr lang="en-US" sz="1100"/>
            <a:t>    a) The work must carry prominent notices stating that you modified</a:t>
          </a:r>
        </a:p>
        <a:p>
          <a:r>
            <a:rPr lang="en-US" sz="1100"/>
            <a:t>    it, and giving a relevant date.</a:t>
          </a:r>
        </a:p>
        <a:p>
          <a:endParaRPr lang="en-US" sz="1100"/>
        </a:p>
        <a:p>
          <a:r>
            <a:rPr lang="en-US" sz="1100"/>
            <a:t>    b) The work must carry prominent notices stating that it is</a:t>
          </a:r>
        </a:p>
        <a:p>
          <a:r>
            <a:rPr lang="en-US" sz="1100"/>
            <a:t>    released under this License and any conditions added under section</a:t>
          </a:r>
        </a:p>
        <a:p>
          <a:r>
            <a:rPr lang="en-US" sz="1100"/>
            <a:t>    7.  This requirement modifies the requirement in section 4 to</a:t>
          </a:r>
        </a:p>
        <a:p>
          <a:r>
            <a:rPr lang="en-US" sz="1100"/>
            <a:t>    "keep intact all notices".</a:t>
          </a:r>
        </a:p>
        <a:p>
          <a:endParaRPr lang="en-US" sz="1100"/>
        </a:p>
        <a:p>
          <a:r>
            <a:rPr lang="en-US" sz="1100"/>
            <a:t>    c) You must license the entire work, as a whole, under this</a:t>
          </a:r>
        </a:p>
        <a:p>
          <a:r>
            <a:rPr lang="en-US" sz="1100"/>
            <a:t>    License to anyone who comes into possession of a copy.  This</a:t>
          </a:r>
        </a:p>
        <a:p>
          <a:r>
            <a:rPr lang="en-US" sz="1100"/>
            <a:t>    License will therefore apply, along with any applicable section 7</a:t>
          </a:r>
        </a:p>
        <a:p>
          <a:r>
            <a:rPr lang="en-US" sz="1100"/>
            <a:t>    additional terms, to the whole of the work, and all its parts,</a:t>
          </a:r>
        </a:p>
        <a:p>
          <a:r>
            <a:rPr lang="en-US" sz="1100"/>
            <a:t>    regardless of how they are packaged.  This License gives no</a:t>
          </a:r>
        </a:p>
        <a:p>
          <a:r>
            <a:rPr lang="en-US" sz="1100"/>
            <a:t>    permission to license the work in any other way, but it does not</a:t>
          </a:r>
        </a:p>
        <a:p>
          <a:r>
            <a:rPr lang="en-US" sz="1100"/>
            <a:t>    invalidate such permission if you have separately received it.</a:t>
          </a:r>
        </a:p>
        <a:p>
          <a:endParaRPr lang="en-US" sz="1100"/>
        </a:p>
        <a:p>
          <a:r>
            <a:rPr lang="en-US" sz="1100"/>
            <a:t>    d) If the work has interactive user interfaces, each must display</a:t>
          </a:r>
        </a:p>
        <a:p>
          <a:r>
            <a:rPr lang="en-US" sz="1100"/>
            <a:t>    Appropriate Legal Notices; however, if the Program has interactive</a:t>
          </a:r>
        </a:p>
        <a:p>
          <a:r>
            <a:rPr lang="en-US" sz="1100"/>
            <a:t>    interfaces that do not display Appropriate Legal Notices, your</a:t>
          </a:r>
        </a:p>
        <a:p>
          <a:r>
            <a:rPr lang="en-US" sz="1100"/>
            <a:t>    work need not make them do so.</a:t>
          </a:r>
        </a:p>
        <a:p>
          <a:endParaRPr lang="en-US" sz="1100"/>
        </a:p>
        <a:p>
          <a:r>
            <a:rPr lang="en-US" sz="1100"/>
            <a:t>  A compilation of a covered work with other separate and independent</a:t>
          </a:r>
        </a:p>
        <a:p>
          <a:r>
            <a:rPr lang="en-US" sz="1100"/>
            <a:t>works, which are not by their nature extensions of the covered work,</a:t>
          </a:r>
        </a:p>
        <a:p>
          <a:r>
            <a:rPr lang="en-US" sz="1100"/>
            <a:t>and which are not combined with it such as to form a larger program,</a:t>
          </a:r>
        </a:p>
        <a:p>
          <a:r>
            <a:rPr lang="en-US" sz="1100"/>
            <a:t>in or on a volume of a storage or distribution medium, is called an</a:t>
          </a:r>
        </a:p>
        <a:p>
          <a:r>
            <a:rPr lang="en-US" sz="1100"/>
            <a:t>"aggregate" if the compilation and its resulting copyright are not</a:t>
          </a:r>
        </a:p>
        <a:p>
          <a:r>
            <a:rPr lang="en-US" sz="1100"/>
            <a:t>used to limit the access or legal rights of the compilation's users</a:t>
          </a:r>
        </a:p>
        <a:p>
          <a:r>
            <a:rPr lang="en-US" sz="1100"/>
            <a:t>beyond what the individual works permit.  Inclusion of a covered work</a:t>
          </a:r>
        </a:p>
        <a:p>
          <a:r>
            <a:rPr lang="en-US" sz="1100"/>
            <a:t>in an aggregate does not cause this License to apply to the other</a:t>
          </a:r>
        </a:p>
        <a:p>
          <a:r>
            <a:rPr lang="en-US" sz="1100"/>
            <a:t>parts of the aggregate.</a:t>
          </a:r>
        </a:p>
        <a:p>
          <a:endParaRPr lang="en-US" sz="1100"/>
        </a:p>
        <a:p>
          <a:r>
            <a:rPr lang="en-US" sz="1100"/>
            <a:t>  6. Conveying Non-Source Forms.</a:t>
          </a:r>
        </a:p>
        <a:p>
          <a:endParaRPr lang="en-US" sz="1100"/>
        </a:p>
        <a:p>
          <a:r>
            <a:rPr lang="en-US" sz="1100"/>
            <a:t>  You may convey a covered work in object code form under the terms</a:t>
          </a:r>
        </a:p>
        <a:p>
          <a:r>
            <a:rPr lang="en-US" sz="1100"/>
            <a:t>of sections 4 and 5, provided that you also convey the</a:t>
          </a:r>
        </a:p>
        <a:p>
          <a:r>
            <a:rPr lang="en-US" sz="1100"/>
            <a:t>machine-readable Corresponding Source under the terms of this License,</a:t>
          </a:r>
        </a:p>
        <a:p>
          <a:r>
            <a:rPr lang="en-US" sz="1100"/>
            <a:t>in one of these ways:</a:t>
          </a:r>
        </a:p>
        <a:p>
          <a:endParaRPr lang="en-US" sz="1100"/>
        </a:p>
        <a:p>
          <a:r>
            <a:rPr lang="en-US" sz="1100"/>
            <a:t>    a) Convey the object code in, or embodied in, a physical product</a:t>
          </a:r>
        </a:p>
        <a:p>
          <a:r>
            <a:rPr lang="en-US" sz="1100"/>
            <a:t>    (including a physical distribution medium), accompanied by the</a:t>
          </a:r>
        </a:p>
        <a:p>
          <a:r>
            <a:rPr lang="en-US" sz="1100"/>
            <a:t>    Corresponding Source fixed on a durable physical medium</a:t>
          </a:r>
        </a:p>
        <a:p>
          <a:r>
            <a:rPr lang="en-US" sz="1100"/>
            <a:t>    customarily used for software interchange.</a:t>
          </a:r>
        </a:p>
        <a:p>
          <a:endParaRPr lang="en-US" sz="1100"/>
        </a:p>
        <a:p>
          <a:r>
            <a:rPr lang="en-US" sz="1100"/>
            <a:t>    b) Convey the object code in, or embodied in, a physical product</a:t>
          </a:r>
        </a:p>
        <a:p>
          <a:r>
            <a:rPr lang="en-US" sz="1100"/>
            <a:t>    (including a physical distribution medium), accompanied by a</a:t>
          </a:r>
        </a:p>
        <a:p>
          <a:r>
            <a:rPr lang="en-US" sz="1100"/>
            <a:t>    written offer, valid for at least three years and valid for as</a:t>
          </a:r>
        </a:p>
        <a:p>
          <a:r>
            <a:rPr lang="en-US" sz="1100"/>
            <a:t>    long as you offer spare parts or customer support for that product</a:t>
          </a:r>
        </a:p>
        <a:p>
          <a:r>
            <a:rPr lang="en-US" sz="1100"/>
            <a:t>    model, to give anyone who possesses the object code either (1) a</a:t>
          </a:r>
        </a:p>
        <a:p>
          <a:r>
            <a:rPr lang="en-US" sz="1100"/>
            <a:t>    copy of the Corresponding Source for all the software in the</a:t>
          </a:r>
        </a:p>
        <a:p>
          <a:r>
            <a:rPr lang="en-US" sz="1100"/>
            <a:t>    product that is covered by this License, on a durable physical</a:t>
          </a:r>
        </a:p>
        <a:p>
          <a:r>
            <a:rPr lang="en-US" sz="1100"/>
            <a:t>    medium customarily used for software interchange, for a price no</a:t>
          </a:r>
        </a:p>
        <a:p>
          <a:r>
            <a:rPr lang="en-US" sz="1100"/>
            <a:t>    more than your reasonable cost of physically performing this</a:t>
          </a:r>
        </a:p>
        <a:p>
          <a:r>
            <a:rPr lang="en-US" sz="1100"/>
            <a:t>    conveying of source, or (2) access to copy the</a:t>
          </a:r>
        </a:p>
        <a:p>
          <a:r>
            <a:rPr lang="en-US" sz="1100"/>
            <a:t>    Corresponding Source from a network server at no charge.</a:t>
          </a:r>
        </a:p>
        <a:p>
          <a:endParaRPr lang="en-US" sz="1100"/>
        </a:p>
        <a:p>
          <a:r>
            <a:rPr lang="en-US" sz="1100"/>
            <a:t>    c) Convey individual copies of the object code with a copy of the</a:t>
          </a:r>
        </a:p>
        <a:p>
          <a:r>
            <a:rPr lang="en-US" sz="1100"/>
            <a:t>    written offer to provide the Corresponding Source.  This</a:t>
          </a:r>
        </a:p>
        <a:p>
          <a:r>
            <a:rPr lang="en-US" sz="1100"/>
            <a:t>    alternative is allowed only occasionally and noncommercially, and</a:t>
          </a:r>
        </a:p>
        <a:p>
          <a:r>
            <a:rPr lang="en-US" sz="1100"/>
            <a:t>    only if you received the object code with such an offer, in accord</a:t>
          </a:r>
        </a:p>
        <a:p>
          <a:r>
            <a:rPr lang="en-US" sz="1100"/>
            <a:t>    with subsection 6b.</a:t>
          </a:r>
        </a:p>
        <a:p>
          <a:endParaRPr lang="en-US" sz="1100"/>
        </a:p>
        <a:p>
          <a:r>
            <a:rPr lang="en-US" sz="1100"/>
            <a:t>    d) Convey the object code by offering access from a designated</a:t>
          </a:r>
        </a:p>
        <a:p>
          <a:r>
            <a:rPr lang="en-US" sz="1100"/>
            <a:t>    place (gratis or for a charge), and offer equivalent access to the</a:t>
          </a:r>
        </a:p>
        <a:p>
          <a:r>
            <a:rPr lang="en-US" sz="1100"/>
            <a:t>    Corresponding Source in the same way through the same place at no</a:t>
          </a:r>
        </a:p>
        <a:p>
          <a:r>
            <a:rPr lang="en-US" sz="1100"/>
            <a:t>    further charge.  You need not require recipients to copy the</a:t>
          </a:r>
        </a:p>
        <a:p>
          <a:r>
            <a:rPr lang="en-US" sz="1100"/>
            <a:t>    Corresponding Source along with the object code.  If the place to</a:t>
          </a:r>
        </a:p>
        <a:p>
          <a:r>
            <a:rPr lang="en-US" sz="1100"/>
            <a:t>    copy the object code is a network server, the Corresponding Source</a:t>
          </a:r>
        </a:p>
        <a:p>
          <a:r>
            <a:rPr lang="en-US" sz="1100"/>
            <a:t>    may be on a different server (operated by you or a third party)</a:t>
          </a:r>
        </a:p>
        <a:p>
          <a:r>
            <a:rPr lang="en-US" sz="1100"/>
            <a:t>    that supports equivalent copying facilities, provided you maintain</a:t>
          </a:r>
        </a:p>
        <a:p>
          <a:r>
            <a:rPr lang="en-US" sz="1100"/>
            <a:t>    clear directions next to the object code saying where to find the</a:t>
          </a:r>
        </a:p>
        <a:p>
          <a:r>
            <a:rPr lang="en-US" sz="1100"/>
            <a:t>    Corresponding Source.  Regardless of what server hosts the</a:t>
          </a:r>
        </a:p>
        <a:p>
          <a:r>
            <a:rPr lang="en-US" sz="1100"/>
            <a:t>    Corresponding Source, you remain obligated to ensure that it is</a:t>
          </a:r>
        </a:p>
        <a:p>
          <a:r>
            <a:rPr lang="en-US" sz="1100"/>
            <a:t>    available for as long as needed to satisfy these requirements.</a:t>
          </a:r>
        </a:p>
        <a:p>
          <a:endParaRPr lang="en-US" sz="1100"/>
        </a:p>
        <a:p>
          <a:r>
            <a:rPr lang="en-US" sz="1100"/>
            <a:t>    e) Convey the object code using peer-to-peer transmission, provided</a:t>
          </a:r>
        </a:p>
        <a:p>
          <a:r>
            <a:rPr lang="en-US" sz="1100"/>
            <a:t>    you inform other peers where the object code and Corresponding</a:t>
          </a:r>
        </a:p>
        <a:p>
          <a:r>
            <a:rPr lang="en-US" sz="1100"/>
            <a:t>    Source of the work are being offered to the general public at no</a:t>
          </a:r>
        </a:p>
        <a:p>
          <a:r>
            <a:rPr lang="en-US" sz="1100"/>
            <a:t>    charge under subsection 6d.</a:t>
          </a:r>
        </a:p>
        <a:p>
          <a:endParaRPr lang="en-US" sz="1100"/>
        </a:p>
        <a:p>
          <a:r>
            <a:rPr lang="en-US" sz="1100"/>
            <a:t>  A separable portion of the object code, whose source code is excluded</a:t>
          </a:r>
        </a:p>
        <a:p>
          <a:r>
            <a:rPr lang="en-US" sz="1100"/>
            <a:t>from the Corresponding Source as a System Library, need not be</a:t>
          </a:r>
        </a:p>
        <a:p>
          <a:r>
            <a:rPr lang="en-US" sz="1100"/>
            <a:t>included in conveying the object code work.</a:t>
          </a:r>
        </a:p>
        <a:p>
          <a:endParaRPr lang="en-US" sz="1100"/>
        </a:p>
        <a:p>
          <a:r>
            <a:rPr lang="en-US" sz="1100"/>
            <a:t>  A "User Product" is either (1) a "consumer product", which means any</a:t>
          </a:r>
        </a:p>
        <a:p>
          <a:r>
            <a:rPr lang="en-US" sz="1100"/>
            <a:t>tangible personal property which is normally used for personal, family,</a:t>
          </a:r>
        </a:p>
        <a:p>
          <a:r>
            <a:rPr lang="en-US" sz="1100"/>
            <a:t>or household purposes, or (2) anything designed or sold for incorporation</a:t>
          </a:r>
        </a:p>
        <a:p>
          <a:r>
            <a:rPr lang="en-US" sz="1100"/>
            <a:t>into a dwelling.  In determining whether a product is a consumer product,</a:t>
          </a:r>
        </a:p>
        <a:p>
          <a:r>
            <a:rPr lang="en-US" sz="1100"/>
            <a:t>doubtful cases shall be resolved in favor of coverage.  For a particular</a:t>
          </a:r>
        </a:p>
        <a:p>
          <a:r>
            <a:rPr lang="en-US" sz="1100"/>
            <a:t>product received by a particular user, "normally used" refers to a</a:t>
          </a:r>
        </a:p>
        <a:p>
          <a:r>
            <a:rPr lang="en-US" sz="1100"/>
            <a:t>typical or common use of that class of product, regardless of the status</a:t>
          </a:r>
        </a:p>
        <a:p>
          <a:r>
            <a:rPr lang="en-US" sz="1100"/>
            <a:t>of the particular user or of the way in which the particular user</a:t>
          </a:r>
        </a:p>
        <a:p>
          <a:r>
            <a:rPr lang="en-US" sz="1100"/>
            <a:t>actually uses, or expects or is expected to use, the product.  A product</a:t>
          </a:r>
        </a:p>
        <a:p>
          <a:r>
            <a:rPr lang="en-US" sz="1100"/>
            <a:t>is a consumer product regardless of whether the product has substantial</a:t>
          </a:r>
        </a:p>
        <a:p>
          <a:r>
            <a:rPr lang="en-US" sz="1100"/>
            <a:t>commercial, industrial or non-consumer uses, unless such uses represent</a:t>
          </a:r>
        </a:p>
        <a:p>
          <a:r>
            <a:rPr lang="en-US" sz="1100"/>
            <a:t>the only significant mode of use of the product.</a:t>
          </a:r>
        </a:p>
        <a:p>
          <a:endParaRPr lang="en-US" sz="1100"/>
        </a:p>
        <a:p>
          <a:r>
            <a:rPr lang="en-US" sz="1100"/>
            <a:t>  "Installation Information" for a User Product means any methods,</a:t>
          </a:r>
        </a:p>
        <a:p>
          <a:r>
            <a:rPr lang="en-US" sz="1100"/>
            <a:t>procedures, authorization keys, or other information required to install</a:t>
          </a:r>
        </a:p>
        <a:p>
          <a:r>
            <a:rPr lang="en-US" sz="1100"/>
            <a:t>and execute modified versions of a covered work in that User Product from</a:t>
          </a:r>
        </a:p>
        <a:p>
          <a:r>
            <a:rPr lang="en-US" sz="1100"/>
            <a:t>a modified version of its Corresponding Source.  The information must</a:t>
          </a:r>
        </a:p>
        <a:p>
          <a:r>
            <a:rPr lang="en-US" sz="1100"/>
            <a:t>suffice to ensure that the continued functioning of the modified object</a:t>
          </a:r>
        </a:p>
        <a:p>
          <a:r>
            <a:rPr lang="en-US" sz="1100"/>
            <a:t>code is in no case prevented or interfered with solely because</a:t>
          </a:r>
        </a:p>
        <a:p>
          <a:r>
            <a:rPr lang="en-US" sz="1100"/>
            <a:t>modification has been made.</a:t>
          </a:r>
        </a:p>
        <a:p>
          <a:endParaRPr lang="en-US" sz="1100"/>
        </a:p>
        <a:p>
          <a:r>
            <a:rPr lang="en-US" sz="1100"/>
            <a:t>  If you convey an object code work under this section in, or with, or</a:t>
          </a:r>
        </a:p>
        <a:p>
          <a:r>
            <a:rPr lang="en-US" sz="1100"/>
            <a:t>specifically for use in, a User Product, and the conveying occurs as</a:t>
          </a:r>
        </a:p>
        <a:p>
          <a:r>
            <a:rPr lang="en-US" sz="1100"/>
            <a:t>part of a transaction in which the right of possession and use of the</a:t>
          </a:r>
        </a:p>
        <a:p>
          <a:r>
            <a:rPr lang="en-US" sz="1100"/>
            <a:t>User Product is transferred to the recipient in perpetuity or for a</a:t>
          </a:r>
        </a:p>
        <a:p>
          <a:r>
            <a:rPr lang="en-US" sz="1100"/>
            <a:t>fixed term (regardless of how the transaction is characterized), the</a:t>
          </a:r>
        </a:p>
        <a:p>
          <a:r>
            <a:rPr lang="en-US" sz="1100"/>
            <a:t>Corresponding Source conveyed under this section must be accompanied</a:t>
          </a:r>
        </a:p>
        <a:p>
          <a:r>
            <a:rPr lang="en-US" sz="1100"/>
            <a:t>by the Installation Information.  But this requirement does not apply</a:t>
          </a:r>
        </a:p>
        <a:p>
          <a:r>
            <a:rPr lang="en-US" sz="1100"/>
            <a:t>if neither you nor any third party retains the ability to install</a:t>
          </a:r>
        </a:p>
        <a:p>
          <a:r>
            <a:rPr lang="en-US" sz="1100"/>
            <a:t>modified object code on the User Product (for example, the work has</a:t>
          </a:r>
        </a:p>
        <a:p>
          <a:r>
            <a:rPr lang="en-US" sz="1100"/>
            <a:t>been installed in ROM).</a:t>
          </a:r>
        </a:p>
        <a:p>
          <a:endParaRPr lang="en-US" sz="1100"/>
        </a:p>
        <a:p>
          <a:r>
            <a:rPr lang="en-US" sz="1100"/>
            <a:t>  The requirement to provide Installation Information does not include a</a:t>
          </a:r>
        </a:p>
        <a:p>
          <a:r>
            <a:rPr lang="en-US" sz="1100"/>
            <a:t>requirement to continue to provide support service, warranty, or updates</a:t>
          </a:r>
        </a:p>
        <a:p>
          <a:r>
            <a:rPr lang="en-US" sz="1100"/>
            <a:t>for a work that has been modified or installed by the recipient, or for</a:t>
          </a:r>
        </a:p>
        <a:p>
          <a:r>
            <a:rPr lang="en-US" sz="1100"/>
            <a:t>the User Product in which it has been modified or installed.  Access to a</a:t>
          </a:r>
        </a:p>
        <a:p>
          <a:r>
            <a:rPr lang="en-US" sz="1100"/>
            <a:t>network may be denied when the modification itself materially and</a:t>
          </a:r>
        </a:p>
        <a:p>
          <a:r>
            <a:rPr lang="en-US" sz="1100"/>
            <a:t>adversely affects the operation of the network or violates the rules and</a:t>
          </a:r>
        </a:p>
        <a:p>
          <a:r>
            <a:rPr lang="en-US" sz="1100"/>
            <a:t>protocols for communication across the network.</a:t>
          </a:r>
        </a:p>
        <a:p>
          <a:endParaRPr lang="en-US" sz="1100"/>
        </a:p>
        <a:p>
          <a:r>
            <a:rPr lang="en-US" sz="1100"/>
            <a:t>  Corresponding Source conveyed, and Installation Information provided,</a:t>
          </a:r>
        </a:p>
        <a:p>
          <a:r>
            <a:rPr lang="en-US" sz="1100"/>
            <a:t>in accord with this section must be in a format that is publicly</a:t>
          </a:r>
        </a:p>
        <a:p>
          <a:r>
            <a:rPr lang="en-US" sz="1100"/>
            <a:t>documented (and with an implementation available to the public in</a:t>
          </a:r>
        </a:p>
        <a:p>
          <a:r>
            <a:rPr lang="en-US" sz="1100"/>
            <a:t>source code form), and must require no special password or key for</a:t>
          </a:r>
        </a:p>
        <a:p>
          <a:r>
            <a:rPr lang="en-US" sz="1100"/>
            <a:t>unpacking, reading or copying.</a:t>
          </a:r>
        </a:p>
        <a:p>
          <a:endParaRPr lang="en-US" sz="1100"/>
        </a:p>
        <a:p>
          <a:r>
            <a:rPr lang="en-US" sz="1100"/>
            <a:t>  7. Additional Terms.</a:t>
          </a:r>
        </a:p>
        <a:p>
          <a:endParaRPr lang="en-US" sz="1100"/>
        </a:p>
        <a:p>
          <a:r>
            <a:rPr lang="en-US" sz="1100"/>
            <a:t>  "Additional permissions" are terms that supplement the terms of this</a:t>
          </a:r>
        </a:p>
        <a:p>
          <a:r>
            <a:rPr lang="en-US" sz="1100"/>
            <a:t>License by making exceptions from one or more of its conditions.</a:t>
          </a:r>
        </a:p>
        <a:p>
          <a:r>
            <a:rPr lang="en-US" sz="1100"/>
            <a:t>Additional permissions that are applicable to the entire Program shall</a:t>
          </a:r>
        </a:p>
        <a:p>
          <a:r>
            <a:rPr lang="en-US" sz="1100"/>
            <a:t>be treated as though they were included in this License, to the extent</a:t>
          </a:r>
        </a:p>
        <a:p>
          <a:r>
            <a:rPr lang="en-US" sz="1100"/>
            <a:t>that they are valid under applicable law.  If additional permissions</a:t>
          </a:r>
        </a:p>
        <a:p>
          <a:r>
            <a:rPr lang="en-US" sz="1100"/>
            <a:t>apply only to part of the Program, that part may be used separately</a:t>
          </a:r>
        </a:p>
        <a:p>
          <a:r>
            <a:rPr lang="en-US" sz="1100"/>
            <a:t>under those permissions, but the entire Program remains governed by</a:t>
          </a:r>
        </a:p>
        <a:p>
          <a:r>
            <a:rPr lang="en-US" sz="1100"/>
            <a:t>this License without regard to the additional permissions.</a:t>
          </a:r>
        </a:p>
        <a:p>
          <a:endParaRPr lang="en-US" sz="1100"/>
        </a:p>
        <a:p>
          <a:r>
            <a:rPr lang="en-US" sz="1100"/>
            <a:t>  When you convey a copy of a covered work, you may at your option</a:t>
          </a:r>
        </a:p>
        <a:p>
          <a:r>
            <a:rPr lang="en-US" sz="1100"/>
            <a:t>remove any additional permissions from that copy, or from any part of</a:t>
          </a:r>
        </a:p>
        <a:p>
          <a:r>
            <a:rPr lang="en-US" sz="1100"/>
            <a:t>it.  (Additional permissions may be written to require their own</a:t>
          </a:r>
        </a:p>
        <a:p>
          <a:r>
            <a:rPr lang="en-US" sz="1100"/>
            <a:t>removal in certain cases when you modify the work.)  You may place</a:t>
          </a:r>
        </a:p>
        <a:p>
          <a:r>
            <a:rPr lang="en-US" sz="1100"/>
            <a:t>additional permissions on material, added by you to a covered work,</a:t>
          </a:r>
        </a:p>
        <a:p>
          <a:r>
            <a:rPr lang="en-US" sz="1100"/>
            <a:t>for which you have or can give appropriate copyright permission.</a:t>
          </a:r>
        </a:p>
        <a:p>
          <a:endParaRPr lang="en-US" sz="1100"/>
        </a:p>
        <a:p>
          <a:r>
            <a:rPr lang="en-US" sz="1100"/>
            <a:t>  Notwithstanding any other provision of this License, for material you</a:t>
          </a:r>
        </a:p>
        <a:p>
          <a:r>
            <a:rPr lang="en-US" sz="1100"/>
            <a:t>add to a covered work, you may (if authorized by the copyright holders of</a:t>
          </a:r>
        </a:p>
        <a:p>
          <a:r>
            <a:rPr lang="en-US" sz="1100"/>
            <a:t>that material) supplement the terms of this License with terms:</a:t>
          </a:r>
        </a:p>
        <a:p>
          <a:endParaRPr lang="en-US" sz="1100"/>
        </a:p>
        <a:p>
          <a:r>
            <a:rPr lang="en-US" sz="1100"/>
            <a:t>    a) Disclaiming warranty or limiting liability differently from the</a:t>
          </a:r>
        </a:p>
        <a:p>
          <a:r>
            <a:rPr lang="en-US" sz="1100"/>
            <a:t>    terms of sections 15 and 16 of this License; or</a:t>
          </a:r>
        </a:p>
        <a:p>
          <a:endParaRPr lang="en-US" sz="1100"/>
        </a:p>
        <a:p>
          <a:r>
            <a:rPr lang="en-US" sz="1100"/>
            <a:t>    b) Requiring preservation of specified reasonable legal notices or</a:t>
          </a:r>
        </a:p>
        <a:p>
          <a:r>
            <a:rPr lang="en-US" sz="1100"/>
            <a:t>    author attributions in that material or in the Appropriate Legal</a:t>
          </a:r>
        </a:p>
        <a:p>
          <a:r>
            <a:rPr lang="en-US" sz="1100"/>
            <a:t>    Notices displayed by works containing it; or</a:t>
          </a:r>
        </a:p>
        <a:p>
          <a:endParaRPr lang="en-US" sz="1100"/>
        </a:p>
        <a:p>
          <a:r>
            <a:rPr lang="en-US" sz="1100"/>
            <a:t>    c) Prohibiting misrepresentation of the origin of that material, or</a:t>
          </a:r>
        </a:p>
        <a:p>
          <a:r>
            <a:rPr lang="en-US" sz="1100"/>
            <a:t>    requiring that modified versions of such material be marked in</a:t>
          </a:r>
        </a:p>
        <a:p>
          <a:r>
            <a:rPr lang="en-US" sz="1100"/>
            <a:t>    reasonable ways as different from the original version; or</a:t>
          </a:r>
        </a:p>
        <a:p>
          <a:endParaRPr lang="en-US" sz="1100"/>
        </a:p>
        <a:p>
          <a:r>
            <a:rPr lang="en-US" sz="1100"/>
            <a:t>    d) Limiting the use for publicity purposes of names of licensors or</a:t>
          </a:r>
        </a:p>
        <a:p>
          <a:r>
            <a:rPr lang="en-US" sz="1100"/>
            <a:t>    authors of the material; or</a:t>
          </a:r>
        </a:p>
        <a:p>
          <a:endParaRPr lang="en-US" sz="1100"/>
        </a:p>
        <a:p>
          <a:r>
            <a:rPr lang="en-US" sz="1100"/>
            <a:t>    e) Declining to grant rights under trademark law for use of some</a:t>
          </a:r>
        </a:p>
        <a:p>
          <a:r>
            <a:rPr lang="en-US" sz="1100"/>
            <a:t>    trade names, trademarks, or service marks; or</a:t>
          </a:r>
        </a:p>
        <a:p>
          <a:endParaRPr lang="en-US" sz="1100"/>
        </a:p>
        <a:p>
          <a:r>
            <a:rPr lang="en-US" sz="1100"/>
            <a:t>    f) Requiring indemnification of licensors and authors of that</a:t>
          </a:r>
        </a:p>
        <a:p>
          <a:r>
            <a:rPr lang="en-US" sz="1100"/>
            <a:t>    material by anyone who conveys the material (or modified versions of</a:t>
          </a:r>
        </a:p>
        <a:p>
          <a:r>
            <a:rPr lang="en-US" sz="1100"/>
            <a:t>    it) with contractual assumptions of liability to the recipient, for</a:t>
          </a:r>
        </a:p>
        <a:p>
          <a:r>
            <a:rPr lang="en-US" sz="1100"/>
            <a:t>    any liability that these contractual assumptions directly impose on</a:t>
          </a:r>
        </a:p>
        <a:p>
          <a:r>
            <a:rPr lang="en-US" sz="1100"/>
            <a:t>    those licensors and authors.</a:t>
          </a:r>
        </a:p>
        <a:p>
          <a:endParaRPr lang="en-US" sz="1100"/>
        </a:p>
        <a:p>
          <a:r>
            <a:rPr lang="en-US" sz="1100"/>
            <a:t>  All other non-permissive additional terms are considered "further</a:t>
          </a:r>
        </a:p>
        <a:p>
          <a:r>
            <a:rPr lang="en-US" sz="1100"/>
            <a:t>restrictions" within the meaning of section 10.  If the Program as you</a:t>
          </a:r>
        </a:p>
        <a:p>
          <a:r>
            <a:rPr lang="en-US" sz="1100"/>
            <a:t>received it, or any part of it, contains a notice stating that it is</a:t>
          </a:r>
        </a:p>
        <a:p>
          <a:r>
            <a:rPr lang="en-US" sz="1100"/>
            <a:t>governed by this License along with a term that is a further</a:t>
          </a:r>
        </a:p>
        <a:p>
          <a:r>
            <a:rPr lang="en-US" sz="1100"/>
            <a:t>restriction, you may remove that term.  If a license document contains</a:t>
          </a:r>
        </a:p>
        <a:p>
          <a:r>
            <a:rPr lang="en-US" sz="1100"/>
            <a:t>a further restriction but permits relicensing or conveying under this</a:t>
          </a:r>
        </a:p>
        <a:p>
          <a:r>
            <a:rPr lang="en-US" sz="1100"/>
            <a:t>License, you may add to a covered work material governed by the terms</a:t>
          </a:r>
        </a:p>
        <a:p>
          <a:r>
            <a:rPr lang="en-US" sz="1100"/>
            <a:t>of that license document, provided that the further restriction does</a:t>
          </a:r>
        </a:p>
        <a:p>
          <a:r>
            <a:rPr lang="en-US" sz="1100"/>
            <a:t>not survive such relicensing or conveying.</a:t>
          </a:r>
        </a:p>
        <a:p>
          <a:endParaRPr lang="en-US" sz="1100"/>
        </a:p>
        <a:p>
          <a:r>
            <a:rPr lang="en-US" sz="1100"/>
            <a:t>  If you add terms to a covered work in accord with this section, you</a:t>
          </a:r>
        </a:p>
        <a:p>
          <a:r>
            <a:rPr lang="en-US" sz="1100"/>
            <a:t>must place, in the relevant source files, a statement of the</a:t>
          </a:r>
        </a:p>
        <a:p>
          <a:r>
            <a:rPr lang="en-US" sz="1100"/>
            <a:t>additional terms that apply to those files, or a notice indicating</a:t>
          </a:r>
        </a:p>
        <a:p>
          <a:r>
            <a:rPr lang="en-US" sz="1100"/>
            <a:t>where to find the applicable terms.</a:t>
          </a:r>
        </a:p>
        <a:p>
          <a:endParaRPr lang="en-US" sz="1100"/>
        </a:p>
        <a:p>
          <a:r>
            <a:rPr lang="en-US" sz="1100"/>
            <a:t>  Additional terms, permissive or non-permissive, may be stated in the</a:t>
          </a:r>
        </a:p>
        <a:p>
          <a:r>
            <a:rPr lang="en-US" sz="1100"/>
            <a:t>form of a separately written license, or stated as exceptions;</a:t>
          </a:r>
        </a:p>
        <a:p>
          <a:r>
            <a:rPr lang="en-US" sz="1100"/>
            <a:t>the above requirements apply either way.</a:t>
          </a:r>
        </a:p>
        <a:p>
          <a:endParaRPr lang="en-US" sz="1100"/>
        </a:p>
        <a:p>
          <a:r>
            <a:rPr lang="en-US" sz="1100"/>
            <a:t>  8. Termination.</a:t>
          </a:r>
        </a:p>
        <a:p>
          <a:endParaRPr lang="en-US" sz="1100"/>
        </a:p>
        <a:p>
          <a:r>
            <a:rPr lang="en-US" sz="1100"/>
            <a:t>  You may not propagate or modify a covered work except as expressly</a:t>
          </a:r>
        </a:p>
        <a:p>
          <a:r>
            <a:rPr lang="en-US" sz="1100"/>
            <a:t>provided under this License.  Any attempt otherwise to propagate or</a:t>
          </a:r>
        </a:p>
        <a:p>
          <a:r>
            <a:rPr lang="en-US" sz="1100"/>
            <a:t>modify it is void, and will automatically terminate your rights under</a:t>
          </a:r>
        </a:p>
        <a:p>
          <a:r>
            <a:rPr lang="en-US" sz="1100"/>
            <a:t>this License (including any patent licenses granted under the third</a:t>
          </a:r>
        </a:p>
        <a:p>
          <a:r>
            <a:rPr lang="en-US" sz="1100"/>
            <a:t>paragraph of section 11).</a:t>
          </a:r>
        </a:p>
        <a:p>
          <a:endParaRPr lang="en-US" sz="1100"/>
        </a:p>
        <a:p>
          <a:r>
            <a:rPr lang="en-US" sz="1100"/>
            <a:t>  However, if you cease all violation of this License, then your</a:t>
          </a:r>
        </a:p>
        <a:p>
          <a:r>
            <a:rPr lang="en-US" sz="1100"/>
            <a:t>license from a particular copyright holder is reinstated (a)</a:t>
          </a:r>
        </a:p>
        <a:p>
          <a:r>
            <a:rPr lang="en-US" sz="1100"/>
            <a:t>provisionally, unless and until the copyright holder explicitly and</a:t>
          </a:r>
        </a:p>
        <a:p>
          <a:r>
            <a:rPr lang="en-US" sz="1100"/>
            <a:t>finally terminates your license, and (b) permanently, if the copyright</a:t>
          </a:r>
        </a:p>
        <a:p>
          <a:r>
            <a:rPr lang="en-US" sz="1100"/>
            <a:t>holder fails to notify you of the violation by some reasonable means</a:t>
          </a:r>
        </a:p>
        <a:p>
          <a:r>
            <a:rPr lang="en-US" sz="1100"/>
            <a:t>prior to 60 days after the cessation.</a:t>
          </a:r>
        </a:p>
        <a:p>
          <a:endParaRPr lang="en-US" sz="1100"/>
        </a:p>
        <a:p>
          <a:r>
            <a:rPr lang="en-US" sz="1100"/>
            <a:t>  Moreover, your license from a particular copyright holder is</a:t>
          </a:r>
        </a:p>
        <a:p>
          <a:r>
            <a:rPr lang="en-US" sz="1100"/>
            <a:t>reinstated permanently if the copyright holder notifies you of the</a:t>
          </a:r>
        </a:p>
        <a:p>
          <a:r>
            <a:rPr lang="en-US" sz="1100"/>
            <a:t>violation by some reasonable means, this is the first time you have</a:t>
          </a:r>
        </a:p>
        <a:p>
          <a:r>
            <a:rPr lang="en-US" sz="1100"/>
            <a:t>received notice of violation of this License (for any work) from that</a:t>
          </a:r>
        </a:p>
        <a:p>
          <a:r>
            <a:rPr lang="en-US" sz="1100"/>
            <a:t>copyright holder, and you cure the violation prior to 30 days after</a:t>
          </a:r>
        </a:p>
        <a:p>
          <a:r>
            <a:rPr lang="en-US" sz="1100"/>
            <a:t>your receipt of the notice.</a:t>
          </a:r>
        </a:p>
        <a:p>
          <a:endParaRPr lang="en-US" sz="1100"/>
        </a:p>
        <a:p>
          <a:r>
            <a:rPr lang="en-US" sz="1100"/>
            <a:t>  Termination of your rights under this section does not terminate the</a:t>
          </a:r>
        </a:p>
        <a:p>
          <a:r>
            <a:rPr lang="en-US" sz="1100"/>
            <a:t>licenses of parties who have received copies or rights from you under</a:t>
          </a:r>
        </a:p>
        <a:p>
          <a:r>
            <a:rPr lang="en-US" sz="1100"/>
            <a:t>this License.  If your rights have been terminated and not permanently</a:t>
          </a:r>
        </a:p>
        <a:p>
          <a:r>
            <a:rPr lang="en-US" sz="1100"/>
            <a:t>reinstated, you do not qualify to receive new licenses for the same</a:t>
          </a:r>
        </a:p>
        <a:p>
          <a:r>
            <a:rPr lang="en-US" sz="1100"/>
            <a:t>material under section 10.</a:t>
          </a:r>
        </a:p>
        <a:p>
          <a:endParaRPr lang="en-US" sz="1100"/>
        </a:p>
        <a:p>
          <a:r>
            <a:rPr lang="en-US" sz="1100"/>
            <a:t>  9. Acceptance Not Required for Having Copies.</a:t>
          </a:r>
        </a:p>
        <a:p>
          <a:endParaRPr lang="en-US" sz="1100"/>
        </a:p>
        <a:p>
          <a:r>
            <a:rPr lang="en-US" sz="1100"/>
            <a:t>  You are not required to accept this License in order to receive or</a:t>
          </a:r>
        </a:p>
        <a:p>
          <a:r>
            <a:rPr lang="en-US" sz="1100"/>
            <a:t>run a copy of the Program.  Ancillary propagation of a covered work</a:t>
          </a:r>
        </a:p>
        <a:p>
          <a:r>
            <a:rPr lang="en-US" sz="1100"/>
            <a:t>occurring solely as a consequence of using peer-to-peer transmission</a:t>
          </a:r>
        </a:p>
        <a:p>
          <a:r>
            <a:rPr lang="en-US" sz="1100"/>
            <a:t>to receive a copy likewise does not require acceptance.  However,</a:t>
          </a:r>
        </a:p>
        <a:p>
          <a:r>
            <a:rPr lang="en-US" sz="1100"/>
            <a:t>nothing other than this License grants you permission to propagate or</a:t>
          </a:r>
        </a:p>
        <a:p>
          <a:r>
            <a:rPr lang="en-US" sz="1100"/>
            <a:t>modify any covered work.  These actions infringe copyright if you do</a:t>
          </a:r>
        </a:p>
        <a:p>
          <a:r>
            <a:rPr lang="en-US" sz="1100"/>
            <a:t>not accept this License.  Therefore, by modifying or propagating a</a:t>
          </a:r>
        </a:p>
        <a:p>
          <a:r>
            <a:rPr lang="en-US" sz="1100"/>
            <a:t>covered work, you indicate your acceptance of this License to do so.</a:t>
          </a:r>
        </a:p>
        <a:p>
          <a:endParaRPr lang="en-US" sz="1100"/>
        </a:p>
        <a:p>
          <a:r>
            <a:rPr lang="en-US" sz="1100"/>
            <a:t>  10. Automatic Licensing of Downstream Recipients.</a:t>
          </a:r>
        </a:p>
        <a:p>
          <a:endParaRPr lang="en-US" sz="1100"/>
        </a:p>
        <a:p>
          <a:r>
            <a:rPr lang="en-US" sz="1100"/>
            <a:t>  Each time you convey a covered work, the recipient automatically</a:t>
          </a:r>
        </a:p>
        <a:p>
          <a:r>
            <a:rPr lang="en-US" sz="1100"/>
            <a:t>receives a license from the original licensors, to run, modify and</a:t>
          </a:r>
        </a:p>
        <a:p>
          <a:r>
            <a:rPr lang="en-US" sz="1100"/>
            <a:t>propagate that work, subject to this License.  You are not responsible</a:t>
          </a:r>
        </a:p>
        <a:p>
          <a:r>
            <a:rPr lang="en-US" sz="1100"/>
            <a:t>for enforcing compliance by third parties with this License.</a:t>
          </a:r>
        </a:p>
        <a:p>
          <a:endParaRPr lang="en-US" sz="1100"/>
        </a:p>
        <a:p>
          <a:r>
            <a:rPr lang="en-US" sz="1100"/>
            <a:t>  An "entity transaction" is a transaction transferring control of an</a:t>
          </a:r>
        </a:p>
        <a:p>
          <a:r>
            <a:rPr lang="en-US" sz="1100"/>
            <a:t>organization, or substantially all assets of one, or subdividing an</a:t>
          </a:r>
        </a:p>
        <a:p>
          <a:r>
            <a:rPr lang="en-US" sz="1100"/>
            <a:t>organization, or merging organizations.  If propagation of a covered</a:t>
          </a:r>
        </a:p>
        <a:p>
          <a:r>
            <a:rPr lang="en-US" sz="1100"/>
            <a:t>work results from an entity transaction, each party to that</a:t>
          </a:r>
        </a:p>
        <a:p>
          <a:r>
            <a:rPr lang="en-US" sz="1100"/>
            <a:t>transaction who receives a copy of the work also receives whatever</a:t>
          </a:r>
        </a:p>
        <a:p>
          <a:r>
            <a:rPr lang="en-US" sz="1100"/>
            <a:t>licenses to the work the party's predecessor in interest had or could</a:t>
          </a:r>
        </a:p>
        <a:p>
          <a:r>
            <a:rPr lang="en-US" sz="1100"/>
            <a:t>give under the previous paragraph, plus a right to possession of the</a:t>
          </a:r>
        </a:p>
        <a:p>
          <a:r>
            <a:rPr lang="en-US" sz="1100"/>
            <a:t>Corresponding Source of the work from the predecessor in interest, if</a:t>
          </a:r>
        </a:p>
        <a:p>
          <a:r>
            <a:rPr lang="en-US" sz="1100"/>
            <a:t>the predecessor has it or can get it with reasonable efforts.</a:t>
          </a:r>
        </a:p>
        <a:p>
          <a:endParaRPr lang="en-US" sz="1100"/>
        </a:p>
        <a:p>
          <a:r>
            <a:rPr lang="en-US" sz="1100"/>
            <a:t>  You may not impose any further restrictions on the exercise of the</a:t>
          </a:r>
        </a:p>
        <a:p>
          <a:r>
            <a:rPr lang="en-US" sz="1100"/>
            <a:t>rights granted or affirmed under this License.  For example, you may</a:t>
          </a:r>
        </a:p>
        <a:p>
          <a:r>
            <a:rPr lang="en-US" sz="1100"/>
            <a:t>not impose a license fee, royalty, or other charge for exercise of</a:t>
          </a:r>
        </a:p>
        <a:p>
          <a:r>
            <a:rPr lang="en-US" sz="1100"/>
            <a:t>rights granted under this License, and you may not initiate litigation</a:t>
          </a:r>
        </a:p>
        <a:p>
          <a:r>
            <a:rPr lang="en-US" sz="1100"/>
            <a:t>(including a cross-claim or counterclaim in a lawsuit) alleging that</a:t>
          </a:r>
        </a:p>
        <a:p>
          <a:r>
            <a:rPr lang="en-US" sz="1100"/>
            <a:t>any patent claim is infringed by making, using, selling, offering for</a:t>
          </a:r>
        </a:p>
        <a:p>
          <a:r>
            <a:rPr lang="en-US" sz="1100"/>
            <a:t>sale, or importing the Program or any portion of it.</a:t>
          </a:r>
        </a:p>
        <a:p>
          <a:endParaRPr lang="en-US" sz="1100"/>
        </a:p>
        <a:p>
          <a:r>
            <a:rPr lang="en-US" sz="1100"/>
            <a:t>  11. Patents.</a:t>
          </a:r>
        </a:p>
        <a:p>
          <a:endParaRPr lang="en-US" sz="1100"/>
        </a:p>
        <a:p>
          <a:r>
            <a:rPr lang="en-US" sz="1100"/>
            <a:t>  A "contributor" is a copyright holder who authorizes use under this</a:t>
          </a:r>
        </a:p>
        <a:p>
          <a:r>
            <a:rPr lang="en-US" sz="1100"/>
            <a:t>License of the Program or a work on which the Program is based.  The</a:t>
          </a:r>
        </a:p>
        <a:p>
          <a:r>
            <a:rPr lang="en-US" sz="1100"/>
            <a:t>work thus licensed is called the contributor's "contributor version".</a:t>
          </a:r>
        </a:p>
        <a:p>
          <a:endParaRPr lang="en-US" sz="1100"/>
        </a:p>
        <a:p>
          <a:r>
            <a:rPr lang="en-US" sz="1100"/>
            <a:t>  A contributor's "essential patent claims" are all patent claims</a:t>
          </a:r>
        </a:p>
        <a:p>
          <a:r>
            <a:rPr lang="en-US" sz="1100"/>
            <a:t>owned or controlled by the contributor, whether already acquired or</a:t>
          </a:r>
        </a:p>
        <a:p>
          <a:r>
            <a:rPr lang="en-US" sz="1100"/>
            <a:t>hereafter acquired, that would be infringed by some manner, permitted</a:t>
          </a:r>
        </a:p>
        <a:p>
          <a:r>
            <a:rPr lang="en-US" sz="1100"/>
            <a:t>by this License, of making, using, or selling its contributor version,</a:t>
          </a:r>
        </a:p>
        <a:p>
          <a:r>
            <a:rPr lang="en-US" sz="1100"/>
            <a:t>but do not include claims that would be infringed only as a</a:t>
          </a:r>
        </a:p>
        <a:p>
          <a:r>
            <a:rPr lang="en-US" sz="1100"/>
            <a:t>consequence of further modification of the contributor version.  For</a:t>
          </a:r>
        </a:p>
        <a:p>
          <a:r>
            <a:rPr lang="en-US" sz="1100"/>
            <a:t>purposes of this definition, "control" includes the right to grant</a:t>
          </a:r>
        </a:p>
        <a:p>
          <a:r>
            <a:rPr lang="en-US" sz="1100"/>
            <a:t>patent sublicenses in a manner consistent with the requirements of</a:t>
          </a:r>
        </a:p>
        <a:p>
          <a:r>
            <a:rPr lang="en-US" sz="1100"/>
            <a:t>this License.</a:t>
          </a:r>
        </a:p>
        <a:p>
          <a:endParaRPr lang="en-US" sz="1100"/>
        </a:p>
        <a:p>
          <a:r>
            <a:rPr lang="en-US" sz="1100"/>
            <a:t>  Each contributor grants you a non-exclusive, worldwide, royalty-free</a:t>
          </a:r>
        </a:p>
        <a:p>
          <a:r>
            <a:rPr lang="en-US" sz="1100"/>
            <a:t>patent license under the contributor's essential patent claims, to</a:t>
          </a:r>
        </a:p>
        <a:p>
          <a:r>
            <a:rPr lang="en-US" sz="1100"/>
            <a:t>make, use, sell, offer for sale, import and otherwise run, modify and</a:t>
          </a:r>
        </a:p>
        <a:p>
          <a:r>
            <a:rPr lang="en-US" sz="1100"/>
            <a:t>propagate the contents of its contributor version.</a:t>
          </a:r>
        </a:p>
        <a:p>
          <a:endParaRPr lang="en-US" sz="1100"/>
        </a:p>
        <a:p>
          <a:r>
            <a:rPr lang="en-US" sz="1100"/>
            <a:t>  In the following three paragraphs, a "patent license" is any express</a:t>
          </a:r>
        </a:p>
        <a:p>
          <a:r>
            <a:rPr lang="en-US" sz="1100"/>
            <a:t>agreement or commitment, however denominated, not to enforce a patent</a:t>
          </a:r>
        </a:p>
        <a:p>
          <a:r>
            <a:rPr lang="en-US" sz="1100"/>
            <a:t>(such as an express permission to practice a patent or covenant not to</a:t>
          </a:r>
        </a:p>
        <a:p>
          <a:r>
            <a:rPr lang="en-US" sz="1100"/>
            <a:t>sue for patent infringement).  To "grant" such a patent license to a</a:t>
          </a:r>
        </a:p>
        <a:p>
          <a:r>
            <a:rPr lang="en-US" sz="1100"/>
            <a:t>party means to make such an agreement or commitment not to enforce a</a:t>
          </a:r>
        </a:p>
        <a:p>
          <a:r>
            <a:rPr lang="en-US" sz="1100"/>
            <a:t>patent against the party.</a:t>
          </a:r>
        </a:p>
        <a:p>
          <a:endParaRPr lang="en-US" sz="1100"/>
        </a:p>
        <a:p>
          <a:r>
            <a:rPr lang="en-US" sz="1100"/>
            <a:t>  If you convey a covered work, knowingly relying on a patent license,</a:t>
          </a:r>
        </a:p>
        <a:p>
          <a:r>
            <a:rPr lang="en-US" sz="1100"/>
            <a:t>and the Corresponding Source of the work is not available for anyone</a:t>
          </a:r>
        </a:p>
        <a:p>
          <a:r>
            <a:rPr lang="en-US" sz="1100"/>
            <a:t>to copy, free of charge and under the terms of this License, through a</a:t>
          </a:r>
        </a:p>
        <a:p>
          <a:r>
            <a:rPr lang="en-US" sz="1100"/>
            <a:t>publicly available network server or other readily accessible means,</a:t>
          </a:r>
        </a:p>
        <a:p>
          <a:r>
            <a:rPr lang="en-US" sz="1100"/>
            <a:t>then you must either (1) cause the Corresponding Source to be so</a:t>
          </a:r>
        </a:p>
        <a:p>
          <a:r>
            <a:rPr lang="en-US" sz="1100"/>
            <a:t>available, or (2) arrange to deprive yourself of the benefit of the</a:t>
          </a:r>
        </a:p>
        <a:p>
          <a:r>
            <a:rPr lang="en-US" sz="1100"/>
            <a:t>patent license for this particular work, or (3) arrange, in a manner</a:t>
          </a:r>
        </a:p>
        <a:p>
          <a:r>
            <a:rPr lang="en-US" sz="1100"/>
            <a:t>consistent with the requirements of this License, to extend the patent</a:t>
          </a:r>
        </a:p>
        <a:p>
          <a:r>
            <a:rPr lang="en-US" sz="1100"/>
            <a:t>license to downstream recipients.  "Knowingly relying" means you have</a:t>
          </a:r>
        </a:p>
        <a:p>
          <a:r>
            <a:rPr lang="en-US" sz="1100"/>
            <a:t>actual knowledge that, but for the patent license, your conveying the</a:t>
          </a:r>
        </a:p>
        <a:p>
          <a:r>
            <a:rPr lang="en-US" sz="1100"/>
            <a:t>covered work in a country, or your recipient's use of the covered work</a:t>
          </a:r>
        </a:p>
        <a:p>
          <a:r>
            <a:rPr lang="en-US" sz="1100"/>
            <a:t>in a country, would infringe one or more identifiable patents in that</a:t>
          </a:r>
        </a:p>
        <a:p>
          <a:r>
            <a:rPr lang="en-US" sz="1100"/>
            <a:t>country that you have reason to believe are valid.</a:t>
          </a:r>
        </a:p>
        <a:p>
          <a:endParaRPr lang="en-US" sz="1100"/>
        </a:p>
        <a:p>
          <a:r>
            <a:rPr lang="en-US" sz="1100"/>
            <a:t>  If, pursuant to or in connection with a single transaction or</a:t>
          </a:r>
        </a:p>
        <a:p>
          <a:r>
            <a:rPr lang="en-US" sz="1100"/>
            <a:t>arrangement, you convey, or propagate by procuring conveyance of, a</a:t>
          </a:r>
        </a:p>
        <a:p>
          <a:r>
            <a:rPr lang="en-US" sz="1100"/>
            <a:t>covered work, and grant a patent license to some of the parties</a:t>
          </a:r>
        </a:p>
        <a:p>
          <a:r>
            <a:rPr lang="en-US" sz="1100"/>
            <a:t>receiving the covered work authorizing them to use, propagate, modify</a:t>
          </a:r>
        </a:p>
        <a:p>
          <a:r>
            <a:rPr lang="en-US" sz="1100"/>
            <a:t>or convey a specific copy of the covered work, then the patent license</a:t>
          </a:r>
        </a:p>
        <a:p>
          <a:r>
            <a:rPr lang="en-US" sz="1100"/>
            <a:t>you grant is automatically extended to all recipients of the covered</a:t>
          </a:r>
        </a:p>
        <a:p>
          <a:r>
            <a:rPr lang="en-US" sz="1100"/>
            <a:t>work and works based on it.</a:t>
          </a:r>
        </a:p>
        <a:p>
          <a:endParaRPr lang="en-US" sz="1100"/>
        </a:p>
        <a:p>
          <a:r>
            <a:rPr lang="en-US" sz="1100"/>
            <a:t>  A patent license is "discriminatory" if it does not include within</a:t>
          </a:r>
        </a:p>
        <a:p>
          <a:r>
            <a:rPr lang="en-US" sz="1100"/>
            <a:t>the scope of its coverage, prohibits the exercise of, or is</a:t>
          </a:r>
        </a:p>
        <a:p>
          <a:r>
            <a:rPr lang="en-US" sz="1100"/>
            <a:t>conditioned on the non-exercise of one or more of the rights that are</a:t>
          </a:r>
        </a:p>
        <a:p>
          <a:r>
            <a:rPr lang="en-US" sz="1100"/>
            <a:t>specifically granted under this License.  You may not convey a covered</a:t>
          </a:r>
        </a:p>
        <a:p>
          <a:r>
            <a:rPr lang="en-US" sz="1100"/>
            <a:t>work if you are a party to an arrangement with a third party that is</a:t>
          </a:r>
        </a:p>
        <a:p>
          <a:r>
            <a:rPr lang="en-US" sz="1100"/>
            <a:t>in the business of distributing software, under which you make payment</a:t>
          </a:r>
        </a:p>
        <a:p>
          <a:r>
            <a:rPr lang="en-US" sz="1100"/>
            <a:t>to the third party based on the extent of your activity of conveying</a:t>
          </a:r>
        </a:p>
        <a:p>
          <a:r>
            <a:rPr lang="en-US" sz="1100"/>
            <a:t>the work, and under which the third party grants, to any of the</a:t>
          </a:r>
        </a:p>
        <a:p>
          <a:r>
            <a:rPr lang="en-US" sz="1100"/>
            <a:t>parties who would receive the covered work from you, a discriminatory</a:t>
          </a:r>
        </a:p>
        <a:p>
          <a:r>
            <a:rPr lang="en-US" sz="1100"/>
            <a:t>patent license (a) in connection with copies of the covered work</a:t>
          </a:r>
        </a:p>
        <a:p>
          <a:r>
            <a:rPr lang="en-US" sz="1100"/>
            <a:t>conveyed by you (or copies made from those copies), or (b) primarily</a:t>
          </a:r>
        </a:p>
        <a:p>
          <a:r>
            <a:rPr lang="en-US" sz="1100"/>
            <a:t>for and in connection with specific products or compilations that</a:t>
          </a:r>
        </a:p>
        <a:p>
          <a:r>
            <a:rPr lang="en-US" sz="1100"/>
            <a:t>contain the covered work, unless you entered into that arrangement,</a:t>
          </a:r>
        </a:p>
        <a:p>
          <a:r>
            <a:rPr lang="en-US" sz="1100"/>
            <a:t>or that patent license was granted, prior to 28 March 2007.</a:t>
          </a:r>
        </a:p>
        <a:p>
          <a:endParaRPr lang="en-US" sz="1100"/>
        </a:p>
        <a:p>
          <a:r>
            <a:rPr lang="en-US" sz="1100"/>
            <a:t>  Nothing in this License shall be construed as excluding or limiting</a:t>
          </a:r>
        </a:p>
        <a:p>
          <a:r>
            <a:rPr lang="en-US" sz="1100"/>
            <a:t>any implied license or other defenses to infringement that may</a:t>
          </a:r>
        </a:p>
        <a:p>
          <a:r>
            <a:rPr lang="en-US" sz="1100"/>
            <a:t>otherwise be available to you under applicable patent law.</a:t>
          </a:r>
        </a:p>
        <a:p>
          <a:endParaRPr lang="en-US" sz="1100"/>
        </a:p>
        <a:p>
          <a:r>
            <a:rPr lang="en-US" sz="1100"/>
            <a:t>  12. No Surrender of Others' Freedom.</a:t>
          </a:r>
        </a:p>
        <a:p>
          <a:endParaRPr lang="en-US" sz="1100"/>
        </a:p>
        <a:p>
          <a:r>
            <a:rPr lang="en-US" sz="1100"/>
            <a:t>  If conditions are imposed on you (whether by court order, agreement or</a:t>
          </a:r>
        </a:p>
        <a:p>
          <a:r>
            <a:rPr lang="en-US" sz="1100"/>
            <a:t>otherwise) that contradict the conditions of this License, they do not</a:t>
          </a:r>
        </a:p>
        <a:p>
          <a:r>
            <a:rPr lang="en-US" sz="1100"/>
            <a:t>excuse you from the conditions of this License.  If you cannot convey a</a:t>
          </a:r>
        </a:p>
        <a:p>
          <a:r>
            <a:rPr lang="en-US" sz="1100"/>
            <a:t>covered work so as to satisfy simultaneously your obligations under this</a:t>
          </a:r>
        </a:p>
        <a:p>
          <a:r>
            <a:rPr lang="en-US" sz="1100"/>
            <a:t>License and any other pertinent obligations, then as a consequence you may</a:t>
          </a:r>
        </a:p>
        <a:p>
          <a:r>
            <a:rPr lang="en-US" sz="1100"/>
            <a:t>not convey it at all.  For example, if you agree to terms that obligate you</a:t>
          </a:r>
        </a:p>
        <a:p>
          <a:r>
            <a:rPr lang="en-US" sz="1100"/>
            <a:t>to collect a royalty for further conveying from those to whom you convey</a:t>
          </a:r>
        </a:p>
        <a:p>
          <a:r>
            <a:rPr lang="en-US" sz="1100"/>
            <a:t>the Program, the only way you could satisfy both those terms and this</a:t>
          </a:r>
        </a:p>
        <a:p>
          <a:r>
            <a:rPr lang="en-US" sz="1100"/>
            <a:t>License would be to refrain entirely from conveying the Program.</a:t>
          </a:r>
        </a:p>
        <a:p>
          <a:endParaRPr lang="en-US" sz="1100"/>
        </a:p>
        <a:p>
          <a:r>
            <a:rPr lang="en-US" sz="1100"/>
            <a:t>  13. Use with the GNU Affero General Public License.</a:t>
          </a:r>
        </a:p>
        <a:p>
          <a:endParaRPr lang="en-US" sz="1100"/>
        </a:p>
        <a:p>
          <a:r>
            <a:rPr lang="en-US" sz="1100"/>
            <a:t>  Notwithstanding any other provision of this License, you have</a:t>
          </a:r>
        </a:p>
        <a:p>
          <a:r>
            <a:rPr lang="en-US" sz="1100"/>
            <a:t>permission to link or combine any covered work with a work licensed</a:t>
          </a:r>
        </a:p>
        <a:p>
          <a:r>
            <a:rPr lang="en-US" sz="1100"/>
            <a:t>under version 3 of the GNU Affero General Public License into a single</a:t>
          </a:r>
        </a:p>
        <a:p>
          <a:r>
            <a:rPr lang="en-US" sz="1100"/>
            <a:t>combined work, and to convey the resulting work.  The terms of this</a:t>
          </a:r>
        </a:p>
        <a:p>
          <a:r>
            <a:rPr lang="en-US" sz="1100"/>
            <a:t>License will continue to apply to the part which is the covered work,</a:t>
          </a:r>
        </a:p>
        <a:p>
          <a:r>
            <a:rPr lang="en-US" sz="1100"/>
            <a:t>but the special requirements of the GNU Affero General Public License,</a:t>
          </a:r>
        </a:p>
        <a:p>
          <a:r>
            <a:rPr lang="en-US" sz="1100"/>
            <a:t>section 13, concerning interaction through a network will apply to the</a:t>
          </a:r>
        </a:p>
        <a:p>
          <a:r>
            <a:rPr lang="en-US" sz="1100"/>
            <a:t>combination as such.</a:t>
          </a:r>
        </a:p>
        <a:p>
          <a:endParaRPr lang="en-US" sz="1100"/>
        </a:p>
        <a:p>
          <a:r>
            <a:rPr lang="en-US" sz="1100"/>
            <a:t>  14. Revised Versions of this License.</a:t>
          </a:r>
        </a:p>
        <a:p>
          <a:endParaRPr lang="en-US" sz="1100"/>
        </a:p>
        <a:p>
          <a:r>
            <a:rPr lang="en-US" sz="1100"/>
            <a:t>  The Free Software Foundation may publish revised and/or new versions of</a:t>
          </a:r>
        </a:p>
        <a:p>
          <a:r>
            <a:rPr lang="en-US" sz="1100"/>
            <a:t>the GNU General Public License from time to time.  Such new versions will</a:t>
          </a:r>
        </a:p>
        <a:p>
          <a:r>
            <a:rPr lang="en-US" sz="1100"/>
            <a:t>be similar in spirit to the present version, but may differ in detail to</a:t>
          </a:r>
        </a:p>
        <a:p>
          <a:r>
            <a:rPr lang="en-US" sz="1100"/>
            <a:t>address new problems or concerns.</a:t>
          </a:r>
        </a:p>
        <a:p>
          <a:endParaRPr lang="en-US" sz="1100"/>
        </a:p>
        <a:p>
          <a:r>
            <a:rPr lang="en-US" sz="1100"/>
            <a:t>  Each version is given a distinguishing version number.  If the</a:t>
          </a:r>
        </a:p>
        <a:p>
          <a:r>
            <a:rPr lang="en-US" sz="1100"/>
            <a:t>Program specifies that a certain numbered version of the GNU General</a:t>
          </a:r>
        </a:p>
        <a:p>
          <a:r>
            <a:rPr lang="en-US" sz="1100"/>
            <a:t>Public License "or any later version" applies to it, you have the</a:t>
          </a:r>
        </a:p>
        <a:p>
          <a:r>
            <a:rPr lang="en-US" sz="1100"/>
            <a:t>option of following the terms and conditions either of that numbered</a:t>
          </a:r>
        </a:p>
        <a:p>
          <a:r>
            <a:rPr lang="en-US" sz="1100"/>
            <a:t>version or of any later version published by the Free Software</a:t>
          </a:r>
        </a:p>
        <a:p>
          <a:r>
            <a:rPr lang="en-US" sz="1100"/>
            <a:t>Foundation.  If the Program does not specify a version number of the</a:t>
          </a:r>
        </a:p>
        <a:p>
          <a:r>
            <a:rPr lang="en-US" sz="1100"/>
            <a:t>GNU General Public License, you may choose any version ever published</a:t>
          </a:r>
        </a:p>
        <a:p>
          <a:r>
            <a:rPr lang="en-US" sz="1100"/>
            <a:t>by the Free Software Foundation.</a:t>
          </a:r>
        </a:p>
        <a:p>
          <a:endParaRPr lang="en-US" sz="1100"/>
        </a:p>
        <a:p>
          <a:r>
            <a:rPr lang="en-US" sz="1100"/>
            <a:t>  If the Program specifies that a proxy can decide which future</a:t>
          </a:r>
        </a:p>
        <a:p>
          <a:r>
            <a:rPr lang="en-US" sz="1100"/>
            <a:t>versions of the GNU General Public License can be used, that proxy's</a:t>
          </a:r>
        </a:p>
        <a:p>
          <a:r>
            <a:rPr lang="en-US" sz="1100"/>
            <a:t>public statement of acceptance of a version permanently authorizes you</a:t>
          </a:r>
        </a:p>
        <a:p>
          <a:r>
            <a:rPr lang="en-US" sz="1100"/>
            <a:t>to choose that version for the Program.</a:t>
          </a:r>
        </a:p>
        <a:p>
          <a:endParaRPr lang="en-US" sz="1100"/>
        </a:p>
        <a:p>
          <a:r>
            <a:rPr lang="en-US" sz="1100"/>
            <a:t>  Later license versions may give you additional or different</a:t>
          </a:r>
        </a:p>
        <a:p>
          <a:r>
            <a:rPr lang="en-US" sz="1100"/>
            <a:t>permissions.  However, no additional obligations are imposed on any</a:t>
          </a:r>
        </a:p>
        <a:p>
          <a:r>
            <a:rPr lang="en-US" sz="1100"/>
            <a:t>author or copyright holder as a result of your choosing to follow a</a:t>
          </a:r>
        </a:p>
        <a:p>
          <a:r>
            <a:rPr lang="en-US" sz="1100"/>
            <a:t>later version.</a:t>
          </a:r>
        </a:p>
        <a:p>
          <a:endParaRPr lang="en-US" sz="1100"/>
        </a:p>
        <a:p>
          <a:r>
            <a:rPr lang="en-US" sz="1100"/>
            <a:t>  15. Disclaimer of Warranty.</a:t>
          </a:r>
        </a:p>
        <a:p>
          <a:endParaRPr lang="en-US" sz="1100"/>
        </a:p>
        <a:p>
          <a:r>
            <a:rPr lang="en-US" sz="1100"/>
            <a:t>  THERE IS NO WARRANTY FOR THE PROGRAM, TO THE EXTENT PERMITTED BY</a:t>
          </a:r>
        </a:p>
        <a:p>
          <a:r>
            <a:rPr lang="en-US" sz="1100"/>
            <a:t>APPLICABLE LAW.  EXCEPT WHEN OTHERWISE STATED IN WRITING THE COPYRIGHT</a:t>
          </a:r>
        </a:p>
        <a:p>
          <a:r>
            <a:rPr lang="en-US" sz="1100"/>
            <a:t>HOLDERS AND/OR OTHER PARTIES PROVIDE THE PROGRAM "AS IS" WITHOUT WARRANTY</a:t>
          </a:r>
        </a:p>
        <a:p>
          <a:r>
            <a:rPr lang="en-US" sz="1100"/>
            <a:t>OF ANY KIND, EITHER EXPRESSED OR IMPLIED, INCLUDING, BUT NOT LIMITED TO,</a:t>
          </a:r>
        </a:p>
        <a:p>
          <a:r>
            <a:rPr lang="en-US" sz="1100"/>
            <a:t>THE IMPLIED WARRANTIES OF MERCHANTABILITY AND FITNESS FOR A PARTICULAR</a:t>
          </a:r>
        </a:p>
        <a:p>
          <a:r>
            <a:rPr lang="en-US" sz="1100"/>
            <a:t>PURPOSE.  THE ENTIRE RISK AS TO THE QUALITY AND PERFORMANCE OF THE PROGRAM</a:t>
          </a:r>
        </a:p>
        <a:p>
          <a:r>
            <a:rPr lang="en-US" sz="1100"/>
            <a:t>IS WITH YOU.  SHOULD THE PROGRAM PROVE DEFECTIVE, YOU ASSUME THE COST OF</a:t>
          </a:r>
        </a:p>
        <a:p>
          <a:r>
            <a:rPr lang="en-US" sz="1100"/>
            <a:t>ALL NECESSARY SERVICING, REPAIR OR CORRECTION.</a:t>
          </a:r>
        </a:p>
        <a:p>
          <a:endParaRPr lang="en-US" sz="1100"/>
        </a:p>
        <a:p>
          <a:r>
            <a:rPr lang="en-US" sz="1100"/>
            <a:t>  16. Limitation of Liability.</a:t>
          </a:r>
        </a:p>
        <a:p>
          <a:endParaRPr lang="en-US" sz="1100"/>
        </a:p>
        <a:p>
          <a:r>
            <a:rPr lang="en-US" sz="1100"/>
            <a:t>  IN NO EVENT UNLESS REQUIRED BY APPLICABLE LAW OR AGREED TO IN WRITING</a:t>
          </a:r>
        </a:p>
        <a:p>
          <a:r>
            <a:rPr lang="en-US" sz="1100"/>
            <a:t>WILL ANY COPYRIGHT HOLDER, OR ANY OTHER PARTY WHO MODIFIES AND/OR CONVEYS</a:t>
          </a:r>
        </a:p>
        <a:p>
          <a:r>
            <a:rPr lang="en-US" sz="1100"/>
            <a:t>THE PROGRAM AS PERMITTED ABOVE, BE LIABLE TO YOU FOR DAMAGES, INCLUDING ANY</a:t>
          </a:r>
        </a:p>
        <a:p>
          <a:r>
            <a:rPr lang="en-US" sz="1100"/>
            <a:t>GENERAL, SPECIAL, INCIDENTAL OR CONSEQUENTIAL DAMAGES ARISING OUT OF THE</a:t>
          </a:r>
        </a:p>
        <a:p>
          <a:r>
            <a:rPr lang="en-US" sz="1100"/>
            <a:t>USE OR INABILITY TO USE THE PROGRAM (INCLUDING BUT NOT LIMITED TO LOSS OF</a:t>
          </a:r>
        </a:p>
        <a:p>
          <a:r>
            <a:rPr lang="en-US" sz="1100"/>
            <a:t>DATA OR DATA BEING RENDERED INACCURATE OR LOSSES SUSTAINED BY YOU OR THIRD</a:t>
          </a:r>
        </a:p>
        <a:p>
          <a:r>
            <a:rPr lang="en-US" sz="1100"/>
            <a:t>PARTIES OR A FAILURE OF THE PROGRAM TO OPERATE WITH ANY OTHER PROGRAMS),</a:t>
          </a:r>
        </a:p>
        <a:p>
          <a:r>
            <a:rPr lang="en-US" sz="1100"/>
            <a:t>EVEN IF SUCH HOLDER OR OTHER PARTY HAS BEEN ADVISED OF THE POSSIBILITY OF</a:t>
          </a:r>
        </a:p>
        <a:p>
          <a:r>
            <a:rPr lang="en-US" sz="1100"/>
            <a:t>SUCH DAMAGES.</a:t>
          </a:r>
        </a:p>
        <a:p>
          <a:endParaRPr lang="en-US" sz="1100"/>
        </a:p>
        <a:p>
          <a:r>
            <a:rPr lang="en-US" sz="1100"/>
            <a:t>  17. Interpretation of Sections 15 and 16.</a:t>
          </a:r>
        </a:p>
        <a:p>
          <a:endParaRPr lang="en-US" sz="1100"/>
        </a:p>
        <a:p>
          <a:r>
            <a:rPr lang="en-US" sz="1100"/>
            <a:t>  If the disclaimer of warranty and limitation of liability provided</a:t>
          </a:r>
        </a:p>
        <a:p>
          <a:r>
            <a:rPr lang="en-US" sz="1100"/>
            <a:t>above cannot be given local legal effect according to their terms,</a:t>
          </a:r>
        </a:p>
        <a:p>
          <a:r>
            <a:rPr lang="en-US" sz="1100"/>
            <a:t>reviewing courts shall apply local law that most closely approximates</a:t>
          </a:r>
        </a:p>
        <a:p>
          <a:r>
            <a:rPr lang="en-US" sz="1100"/>
            <a:t>an absolute waiver of all civil liability in connection with the</a:t>
          </a:r>
        </a:p>
        <a:p>
          <a:r>
            <a:rPr lang="en-US" sz="1100"/>
            <a:t>Program, unless a warranty or assumption of liability accompanies a</a:t>
          </a:r>
        </a:p>
        <a:p>
          <a:r>
            <a:rPr lang="en-US" sz="1100"/>
            <a:t>copy of the Program in return for a fee.</a:t>
          </a:r>
        </a:p>
        <a:p>
          <a:endParaRPr lang="en-US" sz="1100"/>
        </a:p>
        <a:p>
          <a:r>
            <a:rPr lang="en-US" sz="1100"/>
            <a:t>                     END OF TERMS AND CONDITIONS</a:t>
          </a:r>
        </a:p>
        <a:p>
          <a:endParaRPr lang="en-US" sz="1100"/>
        </a:p>
        <a:p>
          <a:r>
            <a:rPr lang="en-US" sz="1100"/>
            <a:t>            How to Apply These Terms to Your New Programs</a:t>
          </a:r>
        </a:p>
        <a:p>
          <a:endParaRPr lang="en-US" sz="1100"/>
        </a:p>
        <a:p>
          <a:r>
            <a:rPr lang="en-US" sz="1100"/>
            <a:t>  If you develop a new program, and you want it to be of the greatest</a:t>
          </a:r>
        </a:p>
        <a:p>
          <a:r>
            <a:rPr lang="en-US" sz="1100"/>
            <a:t>possible use to the public, the best way to achieve this is to make it</a:t>
          </a:r>
        </a:p>
        <a:p>
          <a:r>
            <a:rPr lang="en-US" sz="1100"/>
            <a:t>free software which everyone can redistribute and change under these terms.</a:t>
          </a:r>
        </a:p>
        <a:p>
          <a:endParaRPr lang="en-US" sz="1100"/>
        </a:p>
        <a:p>
          <a:r>
            <a:rPr lang="en-US" sz="1100"/>
            <a:t>  To do so, attach the following notices to the program.  It is safest</a:t>
          </a:r>
        </a:p>
        <a:p>
          <a:r>
            <a:rPr lang="en-US" sz="1100"/>
            <a:t>to attach them to the start of each source file to most effectively</a:t>
          </a:r>
        </a:p>
        <a:p>
          <a:r>
            <a:rPr lang="en-US" sz="1100"/>
            <a:t>state the exclusion of warranty; and each file should have at least</a:t>
          </a:r>
        </a:p>
        <a:p>
          <a:r>
            <a:rPr lang="en-US" sz="1100"/>
            <a:t>the "copyright" line and a pointer to where the full notice is found.</a:t>
          </a:r>
        </a:p>
        <a:p>
          <a:endParaRPr lang="en-US" sz="1100"/>
        </a:p>
        <a:p>
          <a:r>
            <a:rPr lang="en-US" sz="1100"/>
            <a:t>    &lt;one line to give the program's name and a brief idea of what it does.&gt;</a:t>
          </a:r>
        </a:p>
        <a:p>
          <a:r>
            <a:rPr lang="en-US" sz="1100"/>
            <a:t>    Copyright (C) &lt;year&gt;  &lt;name of author&gt;</a:t>
          </a:r>
        </a:p>
        <a:p>
          <a:endParaRPr lang="en-US" sz="1100"/>
        </a:p>
        <a:p>
          <a:r>
            <a:rPr lang="en-US" sz="1100"/>
            <a:t>    This program is free software: you can redistribute it and/or modify</a:t>
          </a:r>
        </a:p>
        <a:p>
          <a:r>
            <a:rPr lang="en-US" sz="1100"/>
            <a:t>    it under the terms of the GNU General Public License as published by</a:t>
          </a:r>
        </a:p>
        <a:p>
          <a:r>
            <a:rPr lang="en-US" sz="1100"/>
            <a:t>    the Free Software Foundation, either version 3 of the License, or</a:t>
          </a:r>
        </a:p>
        <a:p>
          <a:r>
            <a:rPr lang="en-US" sz="1100"/>
            <a:t>    (at your option) any later version.</a:t>
          </a:r>
        </a:p>
        <a:p>
          <a:endParaRPr lang="en-US" sz="1100"/>
        </a:p>
        <a:p>
          <a:r>
            <a:rPr lang="en-US" sz="1100"/>
            <a:t>    This program is distributed in the hope that it will be useful,</a:t>
          </a:r>
        </a:p>
        <a:p>
          <a:r>
            <a:rPr lang="en-US" sz="1100"/>
            <a:t>    but WITHOUT ANY WARRANTY; without even the implied warranty of</a:t>
          </a:r>
        </a:p>
        <a:p>
          <a:r>
            <a:rPr lang="en-US" sz="1100"/>
            <a:t>    MERCHANTABILITY or FITNESS FOR A PARTICULAR PURPOSE.  See the</a:t>
          </a:r>
        </a:p>
        <a:p>
          <a:r>
            <a:rPr lang="en-US" sz="1100"/>
            <a:t>    GNU General Public License for more details.</a:t>
          </a:r>
        </a:p>
        <a:p>
          <a:endParaRPr lang="en-US" sz="1100"/>
        </a:p>
        <a:p>
          <a:r>
            <a:rPr lang="en-US" sz="1100"/>
            <a:t>    You should have received a copy of the GNU General Public License</a:t>
          </a:r>
        </a:p>
        <a:p>
          <a:r>
            <a:rPr lang="en-US" sz="1100"/>
            <a:t>    along with this program.  If not, see &lt;https://www.gnu.org/licenses/&gt;.</a:t>
          </a:r>
        </a:p>
        <a:p>
          <a:endParaRPr lang="en-US" sz="1100"/>
        </a:p>
        <a:p>
          <a:r>
            <a:rPr lang="en-US" sz="1100"/>
            <a:t>Also add information on how to contact you by electronic and paper mail.</a:t>
          </a:r>
        </a:p>
        <a:p>
          <a:endParaRPr lang="en-US" sz="1100"/>
        </a:p>
        <a:p>
          <a:r>
            <a:rPr lang="en-US" sz="1100"/>
            <a:t>  If the program does terminal interaction, make it output a short</a:t>
          </a:r>
        </a:p>
        <a:p>
          <a:r>
            <a:rPr lang="en-US" sz="1100"/>
            <a:t>notice like this when it starts in an interactive mode:</a:t>
          </a:r>
        </a:p>
        <a:p>
          <a:endParaRPr lang="en-US" sz="1100"/>
        </a:p>
        <a:p>
          <a:r>
            <a:rPr lang="en-US" sz="1100"/>
            <a:t>    &lt;program&gt;  Copyright (C) &lt;year&gt;  &lt;name of author&gt;</a:t>
          </a:r>
        </a:p>
        <a:p>
          <a:r>
            <a:rPr lang="en-US" sz="1100"/>
            <a:t>    This program comes with ABSOLUTELY NO WARRANTY; for details type `show w'.</a:t>
          </a:r>
        </a:p>
        <a:p>
          <a:r>
            <a:rPr lang="en-US" sz="1100"/>
            <a:t>    This is free software, and you are welcome to redistribute it</a:t>
          </a:r>
        </a:p>
        <a:p>
          <a:r>
            <a:rPr lang="en-US" sz="1100"/>
            <a:t>    under certain conditions; type `show c' for details.</a:t>
          </a:r>
        </a:p>
        <a:p>
          <a:endParaRPr lang="en-US" sz="1100"/>
        </a:p>
        <a:p>
          <a:r>
            <a:rPr lang="en-US" sz="1100"/>
            <a:t>The hypothetical commands `show w' and `show c' should show the appropriate</a:t>
          </a:r>
        </a:p>
        <a:p>
          <a:r>
            <a:rPr lang="en-US" sz="1100"/>
            <a:t>parts of the General Public License.  Of course, your program's commands</a:t>
          </a:r>
        </a:p>
        <a:p>
          <a:r>
            <a:rPr lang="en-US" sz="1100"/>
            <a:t>might be different; for a GUI interface, you would use an "about box".</a:t>
          </a:r>
        </a:p>
        <a:p>
          <a:endParaRPr lang="en-US" sz="1100"/>
        </a:p>
        <a:p>
          <a:r>
            <a:rPr lang="en-US" sz="1100"/>
            <a:t>  You should also get your employer (if you work as a programmer) or school,</a:t>
          </a:r>
        </a:p>
        <a:p>
          <a:r>
            <a:rPr lang="en-US" sz="1100"/>
            <a:t>if any, to sign a "copyright disclaimer" for the program, if necessary.</a:t>
          </a:r>
        </a:p>
        <a:p>
          <a:r>
            <a:rPr lang="en-US" sz="1100"/>
            <a:t>For more information on this, and how to apply and follow the GNU GPL, see</a:t>
          </a:r>
        </a:p>
        <a:p>
          <a:r>
            <a:rPr lang="en-US" sz="1100"/>
            <a:t>&lt;https://www.gnu.org/licenses/&gt;.</a:t>
          </a:r>
        </a:p>
        <a:p>
          <a:endParaRPr lang="en-US" sz="1100"/>
        </a:p>
        <a:p>
          <a:r>
            <a:rPr lang="en-US" sz="1100"/>
            <a:t>  The GNU General Public License does not permit incorporating your program</a:t>
          </a:r>
        </a:p>
        <a:p>
          <a:r>
            <a:rPr lang="en-US" sz="1100"/>
            <a:t>into proprietary programs.  If your program is a subroutine library, you</a:t>
          </a:r>
        </a:p>
        <a:p>
          <a:r>
            <a:rPr lang="en-US" sz="1100"/>
            <a:t>may consider it more useful to permit linking proprietary applications with</a:t>
          </a:r>
        </a:p>
        <a:p>
          <a:r>
            <a:rPr lang="en-US" sz="1100"/>
            <a:t>the library.  If this is what you want to do, use the GNU Lesser General</a:t>
          </a:r>
        </a:p>
        <a:p>
          <a:r>
            <a:rPr lang="en-US" sz="1100"/>
            <a:t>Public License instead of this License.  But first, please read</a:t>
          </a:r>
        </a:p>
        <a:p>
          <a:r>
            <a:rPr lang="en-US" sz="1100"/>
            <a:t>&lt;https://www.gnu.org/licenses/why-not-lgpl.html&gt;.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ric.straw/Google%20Drive/Finances/2021%20Financial%20Status%202021.8.2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Travel Log"/>
      <sheetName val="2021 Tax Expenses"/>
      <sheetName val="BudgetCashFlow22a"/>
      <sheetName val="BudgetCashFlow22b"/>
      <sheetName val="BudgetCashFlow21"/>
      <sheetName val="AutoInsurance"/>
      <sheetName val="MotorHome"/>
      <sheetName val="Adjunct Courses22a"/>
      <sheetName val="Adjunct Courses22b"/>
      <sheetName val="Adjunct Courses"/>
      <sheetName val="AdjunctPay Chart"/>
      <sheetName val="Tax Rate"/>
      <sheetName val="Net Worth"/>
      <sheetName val="Retirement PlanningA"/>
      <sheetName val="Retirement PlanningB"/>
      <sheetName val="HelpingOthers"/>
      <sheetName val="Asset Allocation"/>
      <sheetName val="E&amp;M Liquid"/>
      <sheetName val="Isaac"/>
      <sheetName val="Natalie"/>
      <sheetName val="Molly"/>
      <sheetName val="Seth"/>
      <sheetName val="Mark"/>
      <sheetName val="Nimue"/>
      <sheetName val="Noah"/>
      <sheetName val="Virtual Assistant"/>
      <sheetName val="Ally"/>
      <sheetName val="F350 Loa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66">
          <cell r="B66">
            <v>24000</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professorstraw.com/index.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ssa.gov/pubs/10070.pdf" TargetMode="External"/><Relationship Id="rId2" Type="http://schemas.openxmlformats.org/officeDocument/2006/relationships/hyperlink" Target="https://www.ssa.gov/myaccount/" TargetMode="External"/><Relationship Id="rId1" Type="http://schemas.openxmlformats.org/officeDocument/2006/relationships/hyperlink" Target="https://www.ssa.gov/pubs/EN-05-10069.pdf"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ssa.gov/oact/quickcalc/spouse.html"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irs.gov/newsroom/irs-provides-tax-inflation-adjustments-for-tax-year-2021" TargetMode="External"/><Relationship Id="rId13" Type="http://schemas.openxmlformats.org/officeDocument/2006/relationships/hyperlink" Target="https://www.ssa.gov/OACT/quickcalc/spouse.html" TargetMode="External"/><Relationship Id="rId3" Type="http://schemas.openxmlformats.org/officeDocument/2006/relationships/hyperlink" Target="https://www.fidelity.com/viewpoints/retirement/tax-savvy-withdrawals" TargetMode="External"/><Relationship Id="rId7" Type="http://schemas.openxmlformats.org/officeDocument/2006/relationships/hyperlink" Target="https://www.efile.com/tax-deduction/federal-standard-deduction/" TargetMode="External"/><Relationship Id="rId12" Type="http://schemas.openxmlformats.org/officeDocument/2006/relationships/hyperlink" Target="https://www.ssa.gov/oact/quickcalc/early_late.html" TargetMode="External"/><Relationship Id="rId2" Type="http://schemas.openxmlformats.org/officeDocument/2006/relationships/hyperlink" Target="https://www.usinflationcalculator.com/inflation/consumer-price-index-and-annual-percent-changes-from-1913-to-2008/" TargetMode="External"/><Relationship Id="rId16" Type="http://schemas.openxmlformats.org/officeDocument/2006/relationships/printerSettings" Target="../printerSettings/printerSettings4.bin"/><Relationship Id="rId1" Type="http://schemas.openxmlformats.org/officeDocument/2006/relationships/hyperlink" Target="https://www.irs.gov/retirement-plans/retirement-plans-faqs-regarding-required-minimum-distributions" TargetMode="External"/><Relationship Id="rId6" Type="http://schemas.openxmlformats.org/officeDocument/2006/relationships/hyperlink" Target="https://www.ssa.gov/benefits/retirement/planner/taxes.html" TargetMode="External"/><Relationship Id="rId11" Type="http://schemas.openxmlformats.org/officeDocument/2006/relationships/hyperlink" Target="https://www.ssa.gov/policy/trust-funds-summary.html" TargetMode="External"/><Relationship Id="rId5" Type="http://schemas.openxmlformats.org/officeDocument/2006/relationships/hyperlink" Target="https://www.ssa.gov/benefits/survivors/ifyou.html" TargetMode="External"/><Relationship Id="rId15" Type="http://schemas.openxmlformats.org/officeDocument/2006/relationships/hyperlink" Target="https://www.ssa.gov/benefits/retirement/planner/agereduction.html" TargetMode="External"/><Relationship Id="rId10" Type="http://schemas.openxmlformats.org/officeDocument/2006/relationships/hyperlink" Target="https://www.forbes.com/advisor/taxes/taxes-federal-income-tax-bracket/" TargetMode="External"/><Relationship Id="rId4" Type="http://schemas.openxmlformats.org/officeDocument/2006/relationships/hyperlink" Target="https://www.ssa.gov/oact/STATS/cpiw.html" TargetMode="External"/><Relationship Id="rId9" Type="http://schemas.openxmlformats.org/officeDocument/2006/relationships/hyperlink" Target="https://www.bankrate.com/investing/long-term-capital-gains-tax/" TargetMode="External"/><Relationship Id="rId14" Type="http://schemas.openxmlformats.org/officeDocument/2006/relationships/hyperlink" Target="https://www.irs.gov/forms-pubs/about-publication-590-b"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choosealicense.co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revenue.ky.gov/Individual/Individual-Income-Tax/Pages/default.aspx" TargetMode="External"/><Relationship Id="rId1" Type="http://schemas.openxmlformats.org/officeDocument/2006/relationships/hyperlink" Target="https://revenue.ky.gov/Get-Help/Pages/Forms.aspx"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oregon.gov/dor/forms/FormsPubs/publication-or-17_101-431_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5063B-292D-47C2-9C60-FA424020224B}">
  <sheetPr>
    <tabColor theme="4" tint="0.39997558519241921"/>
  </sheetPr>
  <dimension ref="A1:S57"/>
  <sheetViews>
    <sheetView showGridLines="0" tabSelected="1" workbookViewId="0">
      <selection sqref="A1:B1"/>
    </sheetView>
  </sheetViews>
  <sheetFormatPr defaultRowHeight="14.4" x14ac:dyDescent="0.3"/>
  <cols>
    <col min="1" max="1" width="6.6640625" customWidth="1"/>
    <col min="3" max="3" width="4" customWidth="1"/>
    <col min="4" max="4" width="14.33203125" customWidth="1"/>
    <col min="6" max="6" width="11.44140625" customWidth="1"/>
    <col min="8" max="8" width="3.21875" customWidth="1"/>
  </cols>
  <sheetData>
    <row r="1" spans="1:19" x14ac:dyDescent="0.3">
      <c r="A1" s="407" t="s">
        <v>123</v>
      </c>
      <c r="B1" s="407"/>
      <c r="C1" t="s">
        <v>124</v>
      </c>
    </row>
    <row r="2" spans="1:19" x14ac:dyDescent="0.3">
      <c r="A2" s="407" t="s">
        <v>232</v>
      </c>
      <c r="B2" s="407"/>
      <c r="C2" s="20" t="s">
        <v>233</v>
      </c>
    </row>
    <row r="3" spans="1:19" x14ac:dyDescent="0.3">
      <c r="A3" s="407" t="s">
        <v>153</v>
      </c>
      <c r="B3" s="407"/>
      <c r="C3" s="360" t="s">
        <v>268</v>
      </c>
      <c r="D3" s="379"/>
    </row>
    <row r="4" spans="1:19" x14ac:dyDescent="0.3">
      <c r="A4" s="407" t="s">
        <v>122</v>
      </c>
      <c r="B4" s="407"/>
      <c r="C4" t="s">
        <v>287</v>
      </c>
    </row>
    <row r="5" spans="1:19" x14ac:dyDescent="0.3">
      <c r="A5" s="407" t="s">
        <v>231</v>
      </c>
      <c r="B5" s="407"/>
      <c r="C5" t="s">
        <v>118</v>
      </c>
    </row>
    <row r="6" spans="1:19" x14ac:dyDescent="0.3">
      <c r="C6" t="s">
        <v>269</v>
      </c>
    </row>
    <row r="7" spans="1:19" x14ac:dyDescent="0.3">
      <c r="C7" s="404" t="s">
        <v>226</v>
      </c>
    </row>
    <row r="8" spans="1:19" x14ac:dyDescent="0.3">
      <c r="C8" s="404" t="s">
        <v>227</v>
      </c>
    </row>
    <row r="9" spans="1:19" x14ac:dyDescent="0.3">
      <c r="C9" s="404" t="s">
        <v>270</v>
      </c>
    </row>
    <row r="10" spans="1:19" x14ac:dyDescent="0.3">
      <c r="C10" s="404" t="s">
        <v>228</v>
      </c>
    </row>
    <row r="13" spans="1:19" ht="14.4" customHeight="1" x14ac:dyDescent="0.3">
      <c r="A13" s="406" t="s">
        <v>239</v>
      </c>
      <c r="B13" s="406"/>
      <c r="C13" s="406"/>
      <c r="D13" s="406"/>
      <c r="E13" s="406"/>
      <c r="F13" s="406"/>
      <c r="G13" s="406"/>
      <c r="H13" s="406"/>
      <c r="I13" s="406"/>
      <c r="J13" s="406"/>
      <c r="K13" s="406"/>
      <c r="L13" s="406"/>
      <c r="M13" s="406"/>
      <c r="N13" s="406"/>
      <c r="O13" s="406"/>
      <c r="P13" s="406"/>
      <c r="Q13" s="406"/>
      <c r="R13" s="406"/>
      <c r="S13" s="406"/>
    </row>
    <row r="14" spans="1:19" ht="14.4" customHeight="1" x14ac:dyDescent="0.3">
      <c r="A14" s="406"/>
      <c r="B14" s="406"/>
      <c r="C14" s="406"/>
      <c r="D14" s="406"/>
      <c r="E14" s="406"/>
      <c r="F14" s="406"/>
      <c r="G14" s="406"/>
      <c r="H14" s="406"/>
      <c r="I14" s="406"/>
      <c r="J14" s="406"/>
      <c r="K14" s="406"/>
      <c r="L14" s="406"/>
      <c r="M14" s="406"/>
      <c r="N14" s="406"/>
      <c r="O14" s="406"/>
      <c r="P14" s="406"/>
      <c r="Q14" s="406"/>
      <c r="R14" s="406"/>
      <c r="S14" s="406"/>
    </row>
    <row r="16" spans="1:19" x14ac:dyDescent="0.3">
      <c r="B16" s="21" t="s">
        <v>240</v>
      </c>
    </row>
    <row r="17" spans="2:10" x14ac:dyDescent="0.3">
      <c r="C17" s="47" t="s">
        <v>125</v>
      </c>
    </row>
    <row r="18" spans="2:10" x14ac:dyDescent="0.3">
      <c r="C18" s="47" t="s">
        <v>119</v>
      </c>
    </row>
    <row r="19" spans="2:10" x14ac:dyDescent="0.3">
      <c r="C19" s="356" t="s">
        <v>215</v>
      </c>
      <c r="E19" s="393"/>
      <c r="F19" s="356" t="s">
        <v>242</v>
      </c>
    </row>
    <row r="20" spans="2:10" x14ac:dyDescent="0.3">
      <c r="C20" s="47" t="s">
        <v>241</v>
      </c>
      <c r="I20" s="393"/>
      <c r="J20" s="356" t="s">
        <v>243</v>
      </c>
    </row>
    <row r="22" spans="2:10" x14ac:dyDescent="0.3">
      <c r="G22" s="193"/>
    </row>
    <row r="24" spans="2:10" x14ac:dyDescent="0.3">
      <c r="B24" s="21" t="s">
        <v>250</v>
      </c>
    </row>
    <row r="25" spans="2:10" x14ac:dyDescent="0.3">
      <c r="C25" s="356" t="s">
        <v>215</v>
      </c>
      <c r="E25" s="393"/>
      <c r="F25" s="356" t="s">
        <v>251</v>
      </c>
    </row>
    <row r="26" spans="2:10" x14ac:dyDescent="0.3">
      <c r="D26" t="s">
        <v>271</v>
      </c>
    </row>
    <row r="30" spans="2:10" x14ac:dyDescent="0.3">
      <c r="B30" s="21" t="s">
        <v>252</v>
      </c>
    </row>
    <row r="31" spans="2:10" x14ac:dyDescent="0.3">
      <c r="B31" s="21"/>
      <c r="C31" t="s">
        <v>254</v>
      </c>
      <c r="G31" s="378"/>
      <c r="H31" t="s">
        <v>253</v>
      </c>
    </row>
    <row r="32" spans="2:10" x14ac:dyDescent="0.3">
      <c r="B32" s="21"/>
      <c r="C32" t="s">
        <v>256</v>
      </c>
      <c r="G32" s="378"/>
      <c r="H32" t="s">
        <v>260</v>
      </c>
    </row>
    <row r="33" spans="1:19" x14ac:dyDescent="0.3">
      <c r="D33" t="s">
        <v>257</v>
      </c>
    </row>
    <row r="34" spans="1:19" x14ac:dyDescent="0.3">
      <c r="D34" t="s">
        <v>258</v>
      </c>
    </row>
    <row r="38" spans="1:19" x14ac:dyDescent="0.3">
      <c r="B38" s="21" t="s">
        <v>245</v>
      </c>
    </row>
    <row r="39" spans="1:19" x14ac:dyDescent="0.3">
      <c r="C39" s="47" t="s">
        <v>244</v>
      </c>
    </row>
    <row r="40" spans="1:19" x14ac:dyDescent="0.3">
      <c r="C40" s="47" t="s">
        <v>241</v>
      </c>
      <c r="I40" s="393"/>
      <c r="J40" s="356" t="s">
        <v>243</v>
      </c>
    </row>
    <row r="41" spans="1:19" x14ac:dyDescent="0.3">
      <c r="C41" t="s">
        <v>255</v>
      </c>
    </row>
    <row r="46" spans="1:19" x14ac:dyDescent="0.3">
      <c r="A46" s="405" t="s">
        <v>247</v>
      </c>
      <c r="B46" s="405"/>
      <c r="C46" s="405"/>
      <c r="D46" s="405"/>
      <c r="E46" s="405"/>
      <c r="F46" s="405"/>
      <c r="G46" s="405"/>
      <c r="H46" s="405"/>
      <c r="I46" s="405"/>
      <c r="J46" s="405"/>
      <c r="K46" s="405"/>
      <c r="L46" s="405"/>
      <c r="M46" s="405"/>
      <c r="N46" s="405"/>
      <c r="O46" s="405"/>
      <c r="P46" s="405"/>
      <c r="Q46" s="405"/>
      <c r="R46" s="405"/>
      <c r="S46" s="405"/>
    </row>
    <row r="47" spans="1:19" x14ac:dyDescent="0.3">
      <c r="A47" s="405"/>
      <c r="B47" s="405"/>
      <c r="C47" s="405"/>
      <c r="D47" s="405"/>
      <c r="E47" s="405"/>
      <c r="F47" s="405"/>
      <c r="G47" s="405"/>
      <c r="H47" s="405"/>
      <c r="I47" s="405"/>
      <c r="J47" s="405"/>
      <c r="K47" s="405"/>
      <c r="L47" s="405"/>
      <c r="M47" s="405"/>
      <c r="N47" s="405"/>
      <c r="O47" s="405"/>
      <c r="P47" s="405"/>
      <c r="Q47" s="405"/>
      <c r="R47" s="405"/>
      <c r="S47" s="405"/>
    </row>
    <row r="49" spans="2:4" x14ac:dyDescent="0.3">
      <c r="B49" t="s">
        <v>248</v>
      </c>
    </row>
    <row r="50" spans="2:4" x14ac:dyDescent="0.3">
      <c r="B50" s="17"/>
      <c r="C50" t="s">
        <v>218</v>
      </c>
    </row>
    <row r="51" spans="2:4" x14ac:dyDescent="0.3">
      <c r="B51" s="17"/>
      <c r="C51" t="s">
        <v>249</v>
      </c>
    </row>
    <row r="52" spans="2:4" x14ac:dyDescent="0.3">
      <c r="B52" s="17"/>
      <c r="D52" t="s">
        <v>272</v>
      </c>
    </row>
    <row r="53" spans="2:4" x14ac:dyDescent="0.3">
      <c r="B53" s="17"/>
      <c r="C53" t="s">
        <v>220</v>
      </c>
    </row>
    <row r="54" spans="2:4" x14ac:dyDescent="0.3">
      <c r="B54" s="17"/>
      <c r="C54" t="s">
        <v>225</v>
      </c>
    </row>
    <row r="55" spans="2:4" x14ac:dyDescent="0.3">
      <c r="B55" s="17"/>
      <c r="D55" t="s">
        <v>286</v>
      </c>
    </row>
    <row r="56" spans="2:4" x14ac:dyDescent="0.3">
      <c r="B56" s="17"/>
      <c r="C56" t="s">
        <v>219</v>
      </c>
    </row>
    <row r="57" spans="2:4" x14ac:dyDescent="0.3">
      <c r="B57" s="17"/>
      <c r="D57" t="s">
        <v>273</v>
      </c>
    </row>
  </sheetData>
  <sheetProtection sheet="1" objects="1" scenarios="1"/>
  <mergeCells count="7">
    <mergeCell ref="A46:S47"/>
    <mergeCell ref="A13:S14"/>
    <mergeCell ref="A1:B1"/>
    <mergeCell ref="A2:B2"/>
    <mergeCell ref="A3:B3"/>
    <mergeCell ref="A4:B4"/>
    <mergeCell ref="A5:B5"/>
  </mergeCells>
  <hyperlinks>
    <hyperlink ref="C2" r:id="rId1" xr:uid="{1E1185B5-2A44-4063-9E47-942A96318BBD}"/>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B6501-BDFA-419C-B63B-0C28393B46C2}">
  <sheetPr codeName="Sheet2">
    <tabColor theme="9" tint="0.39997558519241921"/>
  </sheetPr>
  <dimension ref="A1:Z117"/>
  <sheetViews>
    <sheetView showGridLines="0" workbookViewId="0">
      <selection activeCell="C4" sqref="C4"/>
    </sheetView>
  </sheetViews>
  <sheetFormatPr defaultRowHeight="14.4" x14ac:dyDescent="0.3"/>
  <cols>
    <col min="1" max="1" width="19.88671875" customWidth="1"/>
    <col min="2" max="2" width="14.77734375" customWidth="1"/>
    <col min="3" max="3" width="13.88671875" style="297" customWidth="1"/>
    <col min="4" max="4" width="1" customWidth="1"/>
    <col min="6" max="7" width="10.5546875" customWidth="1"/>
    <col min="8" max="8" width="10.21875" bestFit="1" customWidth="1"/>
    <col min="9" max="9" width="22" customWidth="1"/>
    <col min="10" max="10" width="10.77734375" customWidth="1"/>
    <col min="17" max="17" width="9" customWidth="1"/>
  </cols>
  <sheetData>
    <row r="1" spans="1:26" x14ac:dyDescent="0.3">
      <c r="C1" s="298"/>
    </row>
    <row r="2" spans="1:26" ht="18" x14ac:dyDescent="0.35">
      <c r="A2" s="258" t="s">
        <v>202</v>
      </c>
      <c r="B2" s="181"/>
      <c r="C2" s="299"/>
      <c r="D2" s="181"/>
      <c r="E2" s="181"/>
      <c r="F2" s="181"/>
      <c r="G2" s="181"/>
      <c r="H2" s="181"/>
      <c r="I2" s="181"/>
      <c r="J2" s="181"/>
      <c r="K2" s="181"/>
      <c r="L2" s="380">
        <f>C6</f>
        <v>0</v>
      </c>
      <c r="M2" s="181"/>
      <c r="N2" s="181"/>
      <c r="O2" s="181"/>
      <c r="P2" s="181"/>
      <c r="Q2" s="181"/>
      <c r="R2" s="181"/>
      <c r="S2" s="181"/>
      <c r="T2" s="181"/>
      <c r="U2" s="181"/>
      <c r="V2" s="181"/>
      <c r="W2" s="181"/>
      <c r="X2" s="182"/>
    </row>
    <row r="3" spans="1:26" x14ac:dyDescent="0.3">
      <c r="A3" s="262"/>
      <c r="B3" s="176"/>
      <c r="C3" s="300"/>
      <c r="D3" s="176"/>
      <c r="E3" s="176"/>
      <c r="F3" s="176"/>
      <c r="G3" s="176"/>
      <c r="H3" s="176"/>
      <c r="I3" s="176"/>
      <c r="J3" s="176"/>
      <c r="K3" s="176"/>
      <c r="L3" s="381" t="str">
        <f>IF(ISBLANK(C9)," ",C9)</f>
        <v xml:space="preserve"> </v>
      </c>
      <c r="M3" s="176"/>
      <c r="N3" s="176"/>
      <c r="O3" s="176"/>
      <c r="P3" s="176"/>
      <c r="Q3" s="176"/>
      <c r="R3" s="176"/>
      <c r="S3" s="176"/>
      <c r="T3" s="176"/>
      <c r="U3" s="176"/>
      <c r="V3" s="176"/>
      <c r="W3" s="176"/>
      <c r="X3" s="177"/>
    </row>
    <row r="4" spans="1:26" x14ac:dyDescent="0.3">
      <c r="A4" s="178"/>
      <c r="B4" s="179" t="s">
        <v>17</v>
      </c>
      <c r="C4" s="301"/>
      <c r="D4" s="176"/>
      <c r="E4" s="176"/>
      <c r="F4" s="176"/>
      <c r="G4" s="176"/>
      <c r="H4" s="179" t="str">
        <f>IF(ISBLANK(C$6),"","Tax filing status:")</f>
        <v/>
      </c>
      <c r="I4" s="399" t="s">
        <v>64</v>
      </c>
      <c r="J4" s="180"/>
      <c r="K4" s="222"/>
      <c r="L4" s="176"/>
      <c r="M4" s="176"/>
      <c r="N4" s="176"/>
      <c r="O4" s="176"/>
      <c r="P4" s="176"/>
      <c r="Q4" s="176"/>
      <c r="R4" s="176"/>
      <c r="S4" s="176"/>
      <c r="T4" s="176"/>
      <c r="U4" s="176"/>
      <c r="V4" s="176"/>
      <c r="W4" s="176"/>
      <c r="X4" s="177"/>
    </row>
    <row r="5" spans="1:26" x14ac:dyDescent="0.3">
      <c r="A5" s="178"/>
      <c r="B5" s="176"/>
      <c r="C5" s="300"/>
      <c r="D5" s="176"/>
      <c r="E5" s="176"/>
      <c r="F5" s="176"/>
      <c r="G5" s="176"/>
      <c r="H5" s="179"/>
      <c r="I5" s="186"/>
      <c r="J5" s="186"/>
      <c r="K5" s="222"/>
      <c r="L5" s="176"/>
      <c r="M5" s="176"/>
      <c r="N5" s="176"/>
      <c r="O5" s="176"/>
      <c r="P5" s="176"/>
      <c r="Q5" s="176"/>
      <c r="R5" s="176"/>
      <c r="S5" s="176"/>
      <c r="T5" s="176"/>
      <c r="U5" s="176"/>
      <c r="V5" s="176"/>
      <c r="W5" s="176"/>
      <c r="X5" s="177"/>
    </row>
    <row r="6" spans="1:26" x14ac:dyDescent="0.3">
      <c r="A6" s="178"/>
      <c r="B6" s="179" t="str">
        <f>IF(ISBLANK(C$4),"","Your name:")</f>
        <v/>
      </c>
      <c r="C6" s="303"/>
      <c r="D6" s="176"/>
      <c r="E6" s="176"/>
      <c r="F6" s="176"/>
      <c r="G6" s="176"/>
      <c r="H6" s="179" t="str">
        <f>IF(ISBLANK(C$6),"","State income tax calculations:")</f>
        <v/>
      </c>
      <c r="I6" s="399" t="s">
        <v>155</v>
      </c>
      <c r="J6" s="231" t="str">
        <f>IF(ISBLANK(C$6),"","Select None if your state has no income tax")</f>
        <v/>
      </c>
      <c r="K6" s="222"/>
      <c r="L6" s="176"/>
      <c r="M6" s="176"/>
      <c r="N6" s="176"/>
      <c r="O6" s="176"/>
      <c r="P6" s="176"/>
      <c r="Q6" s="176"/>
      <c r="R6" s="176"/>
      <c r="S6" s="176"/>
      <c r="T6" s="176"/>
      <c r="U6" s="176"/>
      <c r="V6" s="176"/>
      <c r="W6" s="176"/>
      <c r="X6" s="177"/>
    </row>
    <row r="7" spans="1:26" x14ac:dyDescent="0.3">
      <c r="A7" s="178"/>
      <c r="B7" s="179" t="str">
        <f>IF(ISBLANK(C$6),"",_xlfn.CONCAT(C6,"'s age (Jan 1, ",C4,"):"))</f>
        <v/>
      </c>
      <c r="C7" s="303"/>
      <c r="D7" s="176"/>
      <c r="E7" s="176"/>
      <c r="F7" s="176"/>
      <c r="G7" s="176"/>
      <c r="H7" s="222"/>
      <c r="I7" s="222"/>
      <c r="J7" s="222"/>
      <c r="K7" s="222"/>
      <c r="L7" s="176"/>
      <c r="M7" s="176"/>
      <c r="N7" s="176"/>
      <c r="O7" s="176"/>
      <c r="P7" s="176"/>
      <c r="Q7" s="176"/>
      <c r="R7" s="176"/>
      <c r="S7" s="176"/>
      <c r="T7" s="176"/>
      <c r="U7" s="176"/>
      <c r="V7" s="176"/>
      <c r="W7" s="176"/>
      <c r="X7" s="177"/>
    </row>
    <row r="8" spans="1:26" x14ac:dyDescent="0.3">
      <c r="A8" s="178"/>
      <c r="B8" s="179"/>
      <c r="C8" s="302"/>
      <c r="D8" s="176"/>
      <c r="E8" s="176"/>
      <c r="F8" s="176"/>
      <c r="G8" s="176"/>
      <c r="H8" s="255" t="str">
        <f>IF(OR(ISBLANK(C$6),ISBLANK(Projections!DE2)),"","Estimated final estate:")</f>
        <v/>
      </c>
      <c r="I8" s="343" t="str" cm="1">
        <f t="array" ref="I8">IF(Projections!DE1=0,"",IF(COUNTIF(Projections!CD7:'Projections'!CD92,"Under")&gt;0,"Insufficient funds",LOOKUP(2,1/(Projections!AK7:AK92&lt;&gt;0),Projections!AK7:AK92)))</f>
        <v/>
      </c>
      <c r="J8" s="395"/>
      <c r="K8" s="222"/>
      <c r="L8" s="176"/>
      <c r="M8" s="176"/>
      <c r="N8" s="176"/>
      <c r="O8" s="176"/>
      <c r="P8" s="176"/>
      <c r="Q8" s="176"/>
      <c r="R8" s="176"/>
      <c r="S8" s="176"/>
      <c r="T8" s="176"/>
      <c r="U8" s="176"/>
      <c r="V8" s="176"/>
      <c r="W8" s="176"/>
      <c r="X8" s="177"/>
      <c r="Z8" s="1"/>
    </row>
    <row r="9" spans="1:26" x14ac:dyDescent="0.3">
      <c r="A9" s="178"/>
      <c r="B9" s="179" t="str">
        <f>IF(ISBLANK(C$6),"","Spouse Name:")</f>
        <v/>
      </c>
      <c r="C9" s="303"/>
      <c r="D9" s="222"/>
      <c r="E9" s="176" t="str">
        <f>IF(ISBLANK(C$6),"","Leave blank if none.")</f>
        <v/>
      </c>
      <c r="F9" s="176"/>
      <c r="G9" s="176"/>
      <c r="H9" s="255" t="str">
        <f>IF(OR(ISBLANK(C$6),ISBLANK(Projections!DE2)),"","Estimated total taxes:")</f>
        <v/>
      </c>
      <c r="I9" s="256" t="str">
        <f>IF(Projections!DE2=0,"",IF(I8="Insufficient funds","",Projections!BP2+Projections!BX2))</f>
        <v/>
      </c>
      <c r="J9" s="176"/>
      <c r="K9" s="176"/>
      <c r="L9" s="176"/>
      <c r="M9" s="176"/>
      <c r="N9" s="176"/>
      <c r="O9" s="176"/>
      <c r="P9" s="176"/>
      <c r="Q9" s="176"/>
      <c r="R9" s="176"/>
      <c r="S9" s="176"/>
      <c r="T9" s="176"/>
      <c r="U9" s="176"/>
      <c r="V9" s="176"/>
      <c r="W9" s="176"/>
      <c r="X9" s="177"/>
    </row>
    <row r="10" spans="1:26" x14ac:dyDescent="0.3">
      <c r="A10" s="178"/>
      <c r="B10" s="179" t="str">
        <f>IF(ISBLANK(C9),"",_xlfn.CONCAT(C9, "'s age (Jan 1,",C4,"):"))</f>
        <v/>
      </c>
      <c r="C10" s="303"/>
      <c r="D10" s="176"/>
      <c r="E10" s="176"/>
      <c r="F10" s="176"/>
      <c r="G10" s="176"/>
      <c r="H10" s="176"/>
      <c r="I10" s="176"/>
      <c r="J10" s="176"/>
      <c r="K10" s="176"/>
      <c r="L10" s="176"/>
      <c r="M10" s="176"/>
      <c r="N10" s="176"/>
      <c r="O10" s="176"/>
      <c r="P10" s="176"/>
      <c r="Q10" s="176"/>
      <c r="R10" s="176"/>
      <c r="S10" s="176"/>
      <c r="T10" s="176"/>
      <c r="U10" s="176"/>
      <c r="V10" s="176"/>
      <c r="W10" s="176"/>
      <c r="X10" s="177"/>
    </row>
    <row r="11" spans="1:26" x14ac:dyDescent="0.3">
      <c r="A11" s="172"/>
      <c r="B11" s="174"/>
      <c r="C11" s="304"/>
      <c r="D11" s="174"/>
      <c r="E11" s="174"/>
      <c r="F11" s="174"/>
      <c r="G11" s="174"/>
      <c r="H11" s="174"/>
      <c r="I11" s="174"/>
      <c r="J11" s="174"/>
      <c r="K11" s="174"/>
      <c r="L11" s="174"/>
      <c r="M11" s="174"/>
      <c r="N11" s="174"/>
      <c r="O11" s="174"/>
      <c r="P11" s="174"/>
      <c r="Q11" s="174"/>
      <c r="R11" s="174"/>
      <c r="S11" s="174"/>
      <c r="T11" s="174"/>
      <c r="U11" s="174"/>
      <c r="V11" s="174"/>
      <c r="W11" s="174"/>
      <c r="X11" s="175"/>
    </row>
    <row r="12" spans="1:26" s="193" customFormat="1" x14ac:dyDescent="0.3">
      <c r="A12" s="194"/>
      <c r="B12" s="47"/>
      <c r="C12" s="305"/>
      <c r="D12" s="47"/>
      <c r="E12" s="47"/>
      <c r="F12" s="47"/>
      <c r="G12" s="47"/>
      <c r="H12" s="47"/>
      <c r="I12" s="47"/>
      <c r="J12" s="47"/>
      <c r="K12" s="47"/>
      <c r="L12" s="47"/>
      <c r="M12" s="47"/>
      <c r="N12" s="47"/>
      <c r="O12" s="47"/>
      <c r="P12" s="47"/>
      <c r="Q12" s="194"/>
    </row>
    <row r="13" spans="1:26" s="47" customFormat="1" ht="18" x14ac:dyDescent="0.35">
      <c r="A13" s="258" t="s">
        <v>201</v>
      </c>
      <c r="B13" s="183"/>
      <c r="C13" s="306"/>
      <c r="D13" s="181"/>
      <c r="E13" s="181"/>
      <c r="F13" s="181"/>
      <c r="G13" s="181"/>
      <c r="H13" s="181"/>
      <c r="I13" s="181"/>
      <c r="J13" s="181"/>
      <c r="K13" s="181"/>
      <c r="L13" s="181"/>
      <c r="M13" s="181"/>
      <c r="N13" s="181"/>
      <c r="O13" s="181"/>
      <c r="P13" s="181"/>
      <c r="Q13" s="181"/>
      <c r="R13" s="181"/>
      <c r="S13" s="181"/>
      <c r="T13" s="181"/>
      <c r="U13" s="181"/>
      <c r="V13" s="181"/>
      <c r="W13" s="181"/>
      <c r="X13" s="182"/>
    </row>
    <row r="14" spans="1:26" s="261" customFormat="1" x14ac:dyDescent="0.3">
      <c r="A14" s="262"/>
      <c r="B14" s="190"/>
      <c r="C14" s="307"/>
      <c r="D14" s="259"/>
      <c r="E14" s="259"/>
      <c r="F14" s="259"/>
      <c r="G14" s="259"/>
      <c r="H14" s="259"/>
      <c r="I14" s="259"/>
      <c r="J14" s="259"/>
      <c r="K14" s="259"/>
      <c r="L14" s="259"/>
      <c r="M14" s="259"/>
      <c r="N14" s="259"/>
      <c r="O14" s="259"/>
      <c r="P14" s="259"/>
      <c r="Q14" s="259"/>
      <c r="R14" s="259"/>
      <c r="S14" s="259"/>
      <c r="T14" s="259"/>
      <c r="U14" s="259"/>
      <c r="V14" s="259"/>
      <c r="W14" s="259"/>
      <c r="X14" s="260"/>
    </row>
    <row r="15" spans="1:26" s="47" customFormat="1" x14ac:dyDescent="0.3">
      <c r="A15" s="178"/>
      <c r="B15" s="187" t="str">
        <f>IF(ISBLANK(C6),"",_xlfn.CONCAT("Enter your actual or estimated balances for January 1, ", C$4))</f>
        <v/>
      </c>
      <c r="C15" s="308"/>
      <c r="D15" s="176"/>
      <c r="E15" s="176"/>
      <c r="F15" s="176"/>
      <c r="G15" s="176"/>
      <c r="H15" s="176"/>
      <c r="I15" s="176"/>
      <c r="J15" s="176"/>
      <c r="K15" s="176"/>
      <c r="L15" s="176"/>
      <c r="M15" s="176"/>
      <c r="N15" s="176"/>
      <c r="O15" s="176"/>
      <c r="P15" s="176"/>
      <c r="Q15" s="176"/>
      <c r="R15" s="176"/>
      <c r="S15" s="176"/>
      <c r="T15" s="176"/>
      <c r="U15" s="176"/>
      <c r="V15" s="176"/>
      <c r="W15" s="176"/>
      <c r="X15" s="177"/>
    </row>
    <row r="16" spans="1:26" s="47" customFormat="1" x14ac:dyDescent="0.3">
      <c r="A16" s="178"/>
      <c r="B16" s="187"/>
      <c r="C16" s="308"/>
      <c r="D16" s="176"/>
      <c r="E16" s="176"/>
      <c r="F16" s="176"/>
      <c r="G16" s="176"/>
      <c r="H16" s="176"/>
      <c r="I16" s="176"/>
      <c r="J16" s="176"/>
      <c r="K16" s="176"/>
      <c r="L16" s="176"/>
      <c r="M16" s="176"/>
      <c r="N16" s="176"/>
      <c r="O16" s="176"/>
      <c r="P16" s="176"/>
      <c r="Q16" s="176"/>
      <c r="R16" s="176"/>
      <c r="S16" s="176"/>
      <c r="T16" s="176"/>
      <c r="U16" s="176"/>
      <c r="V16" s="176"/>
      <c r="W16" s="176"/>
      <c r="X16" s="177"/>
    </row>
    <row r="17" spans="1:24" s="47" customFormat="1" x14ac:dyDescent="0.3">
      <c r="A17" s="178"/>
      <c r="B17" s="179" t="str">
        <f>IF(ISBLANK(C6),"",_xlfn.CONCAT(C6,"'s tax deffered balance:"))</f>
        <v/>
      </c>
      <c r="C17" s="310"/>
      <c r="D17" s="222"/>
      <c r="E17" s="176" t="str">
        <f>IF(ISBLANK(C6),"",_xlfn.CONCAT("401(k) or 403(b) balance on January 1, ", C$4))</f>
        <v/>
      </c>
      <c r="F17" s="176"/>
      <c r="G17" s="176"/>
      <c r="H17" s="176"/>
      <c r="I17" s="176"/>
      <c r="J17" s="176"/>
      <c r="K17" s="176"/>
      <c r="L17" s="176"/>
      <c r="M17" s="176"/>
      <c r="N17" s="176"/>
      <c r="O17" s="176"/>
      <c r="P17" s="176"/>
      <c r="Q17" s="176"/>
      <c r="R17" s="176"/>
      <c r="S17" s="176"/>
      <c r="T17" s="176"/>
      <c r="U17" s="176"/>
      <c r="V17" s="176"/>
      <c r="W17" s="176"/>
      <c r="X17" s="177"/>
    </row>
    <row r="18" spans="1:24" s="47" customFormat="1" x14ac:dyDescent="0.3">
      <c r="A18" s="178"/>
      <c r="B18" s="179" t="str">
        <f>IF(OR(ISBLANK(C6),ISBLANK(C9)),"",_xlfn.CONCAT(C9,"'s tax deffered balance:"))</f>
        <v/>
      </c>
      <c r="C18" s="310"/>
      <c r="D18" s="222"/>
      <c r="E18" s="176" t="str">
        <f>IF(OR(ISBLANK(C6),ISBLANK(C9)),"",_xlfn.CONCAT("401(k) or 403(b) balance on January 1, ", C$4))</f>
        <v/>
      </c>
      <c r="F18" s="176"/>
      <c r="G18" s="176"/>
      <c r="H18" s="176"/>
      <c r="I18" s="176"/>
      <c r="J18" s="176"/>
      <c r="K18" s="176"/>
      <c r="L18" s="176"/>
      <c r="M18" s="176"/>
      <c r="N18" s="176"/>
      <c r="O18" s="176"/>
      <c r="P18" s="176"/>
      <c r="Q18" s="176"/>
      <c r="R18" s="176"/>
      <c r="S18" s="176"/>
      <c r="T18" s="176"/>
      <c r="U18" s="176"/>
      <c r="V18" s="176"/>
      <c r="W18" s="176"/>
      <c r="X18" s="177"/>
    </row>
    <row r="19" spans="1:24" s="47" customFormat="1" x14ac:dyDescent="0.3">
      <c r="A19" s="178"/>
      <c r="B19" s="179"/>
      <c r="C19" s="308"/>
      <c r="D19" s="176"/>
      <c r="E19" s="176"/>
      <c r="F19" s="176"/>
      <c r="G19" s="176"/>
      <c r="H19" s="176"/>
      <c r="I19" s="176"/>
      <c r="J19" s="176"/>
      <c r="K19" s="176"/>
      <c r="L19" s="176"/>
      <c r="M19" s="176"/>
      <c r="N19" s="176"/>
      <c r="O19" s="176"/>
      <c r="P19" s="176"/>
      <c r="Q19" s="176"/>
      <c r="R19" s="176"/>
      <c r="S19" s="176"/>
      <c r="T19" s="176"/>
      <c r="U19" s="176"/>
      <c r="V19" s="176"/>
      <c r="W19" s="176"/>
      <c r="X19" s="177"/>
    </row>
    <row r="20" spans="1:24" x14ac:dyDescent="0.3">
      <c r="A20" s="178"/>
      <c r="B20" s="179" t="str">
        <f>IF(ISBLANK(C6),"",_xlfn.CONCAT(C6,"'s tax prepaid balance:"))</f>
        <v/>
      </c>
      <c r="C20" s="310"/>
      <c r="D20" s="222"/>
      <c r="E20" s="176" t="str">
        <f>IF(ISBLANK(C6),"",_xlfn.CONCAT("Roth IRA or Roth 401(k) balance on January 1, ", C$4))</f>
        <v/>
      </c>
      <c r="F20" s="176"/>
      <c r="G20" s="176"/>
      <c r="H20" s="176"/>
      <c r="I20" s="176"/>
      <c r="J20" s="176"/>
      <c r="K20" s="176"/>
      <c r="L20" s="176"/>
      <c r="M20" s="176"/>
      <c r="N20" s="176"/>
      <c r="O20" s="176"/>
      <c r="P20" s="176"/>
      <c r="Q20" s="176"/>
      <c r="R20" s="176"/>
      <c r="S20" s="176"/>
      <c r="T20" s="176"/>
      <c r="U20" s="176"/>
      <c r="V20" s="176"/>
      <c r="W20" s="176"/>
      <c r="X20" s="177"/>
    </row>
    <row r="21" spans="1:24" x14ac:dyDescent="0.3">
      <c r="A21" s="178"/>
      <c r="B21" s="179" t="str">
        <f>IF(OR(ISBLANK(C6), ISBLANK(C9)),"",_xlfn.CONCAT(C9,"'s tax prepaid balance:"))</f>
        <v/>
      </c>
      <c r="C21" s="310"/>
      <c r="D21" s="222"/>
      <c r="E21" s="176" t="str">
        <f>IF(OR(ISBLANK(C6),ISBLANK(C9)),"",_xlfn.CONCAT("Roth IRA or Roth 401(k) balance on January 1, ", C$4))</f>
        <v/>
      </c>
      <c r="F21" s="176"/>
      <c r="G21" s="176"/>
      <c r="H21" s="176"/>
      <c r="I21" s="176"/>
      <c r="J21" s="176"/>
      <c r="K21" s="176"/>
      <c r="L21" s="176"/>
      <c r="M21" s="176"/>
      <c r="N21" s="176"/>
      <c r="O21" s="176"/>
      <c r="P21" s="176"/>
      <c r="Q21" s="176"/>
      <c r="R21" s="176"/>
      <c r="S21" s="176"/>
      <c r="T21" s="176"/>
      <c r="U21" s="176"/>
      <c r="V21" s="176"/>
      <c r="W21" s="176"/>
      <c r="X21" s="177"/>
    </row>
    <row r="22" spans="1:24" x14ac:dyDescent="0.3">
      <c r="A22" s="172"/>
      <c r="B22" s="173"/>
      <c r="C22" s="311"/>
      <c r="D22" s="174"/>
      <c r="E22" s="174"/>
      <c r="F22" s="174"/>
      <c r="G22" s="174"/>
      <c r="H22" s="174"/>
      <c r="I22" s="174"/>
      <c r="J22" s="174"/>
      <c r="K22" s="174"/>
      <c r="L22" s="174"/>
      <c r="M22" s="174"/>
      <c r="N22" s="174"/>
      <c r="O22" s="174"/>
      <c r="P22" s="174"/>
      <c r="Q22" s="174"/>
      <c r="R22" s="174"/>
      <c r="S22" s="174"/>
      <c r="T22" s="174"/>
      <c r="U22" s="174"/>
      <c r="V22" s="174"/>
      <c r="W22" s="174"/>
      <c r="X22" s="175"/>
    </row>
    <row r="23" spans="1:24" x14ac:dyDescent="0.3">
      <c r="B23" s="22"/>
      <c r="C23" s="312"/>
      <c r="Q23" s="48"/>
    </row>
    <row r="24" spans="1:24" s="47" customFormat="1" ht="18" x14ac:dyDescent="0.35">
      <c r="A24" s="258" t="s">
        <v>200</v>
      </c>
      <c r="B24" s="183"/>
      <c r="C24" s="313"/>
      <c r="D24" s="181"/>
      <c r="E24" s="181"/>
      <c r="F24" s="181"/>
      <c r="G24" s="181"/>
      <c r="H24" s="181"/>
      <c r="I24" s="181"/>
      <c r="J24" s="181"/>
      <c r="K24" s="181"/>
      <c r="L24" s="181"/>
      <c r="M24" s="181"/>
      <c r="N24" s="181"/>
      <c r="O24" s="181"/>
      <c r="P24" s="181"/>
      <c r="Q24" s="181"/>
      <c r="R24" s="181"/>
      <c r="S24" s="181"/>
      <c r="T24" s="181"/>
      <c r="U24" s="181"/>
      <c r="V24" s="181"/>
      <c r="W24" s="181"/>
      <c r="X24" s="182"/>
    </row>
    <row r="25" spans="1:24" s="261" customFormat="1" x14ac:dyDescent="0.3">
      <c r="A25" s="191"/>
      <c r="B25" s="179"/>
      <c r="C25" s="310"/>
      <c r="D25" s="259"/>
      <c r="E25" s="259"/>
      <c r="F25" s="259"/>
      <c r="G25" s="259"/>
      <c r="H25" s="259"/>
      <c r="I25" s="259"/>
      <c r="J25" s="259"/>
      <c r="K25" s="259"/>
      <c r="L25" s="259"/>
      <c r="M25" s="259"/>
      <c r="N25" s="259"/>
      <c r="O25" s="259"/>
      <c r="P25" s="259"/>
      <c r="Q25" s="259"/>
      <c r="R25" s="259"/>
      <c r="S25" s="259"/>
      <c r="T25" s="259"/>
      <c r="U25" s="259"/>
      <c r="V25" s="259"/>
      <c r="W25" s="259"/>
      <c r="X25" s="260"/>
    </row>
    <row r="26" spans="1:24" s="47" customFormat="1" x14ac:dyDescent="0.3">
      <c r="A26" s="178"/>
      <c r="B26" s="176" t="s">
        <v>210</v>
      </c>
      <c r="C26" s="310"/>
      <c r="D26" s="176"/>
      <c r="E26" s="176"/>
      <c r="F26" s="176"/>
      <c r="G26" s="176"/>
      <c r="H26" s="176"/>
      <c r="I26" s="176"/>
      <c r="J26" s="176"/>
      <c r="K26" s="176"/>
      <c r="L26" s="176"/>
      <c r="M26" s="176"/>
      <c r="N26" s="176"/>
      <c r="O26" s="176"/>
      <c r="P26" s="176"/>
      <c r="Q26" s="176"/>
      <c r="R26" s="176"/>
      <c r="S26" s="176"/>
      <c r="T26" s="176"/>
      <c r="U26" s="176"/>
      <c r="V26" s="176"/>
      <c r="W26" s="176"/>
      <c r="X26" s="177"/>
    </row>
    <row r="27" spans="1:24" s="47" customFormat="1" x14ac:dyDescent="0.3">
      <c r="A27" s="178"/>
      <c r="B27" s="176" t="s">
        <v>41</v>
      </c>
      <c r="C27" s="310"/>
      <c r="D27" s="176"/>
      <c r="E27" s="176"/>
      <c r="F27" s="176"/>
      <c r="G27" s="176"/>
      <c r="H27" s="176"/>
      <c r="I27" s="176"/>
      <c r="J27" s="176"/>
      <c r="K27" s="176"/>
      <c r="L27" s="176"/>
      <c r="M27" s="176"/>
      <c r="N27" s="176"/>
      <c r="O27" s="176"/>
      <c r="P27" s="176"/>
      <c r="Q27" s="176"/>
      <c r="R27" s="176"/>
      <c r="S27" s="176"/>
      <c r="T27" s="176"/>
      <c r="U27" s="176"/>
      <c r="V27" s="176"/>
      <c r="W27" s="176"/>
      <c r="X27" s="177"/>
    </row>
    <row r="28" spans="1:24" s="47" customFormat="1" x14ac:dyDescent="0.3">
      <c r="A28" s="178"/>
      <c r="B28" s="176" t="s">
        <v>39</v>
      </c>
      <c r="C28" s="310"/>
      <c r="D28" s="176"/>
      <c r="E28" s="176"/>
      <c r="F28" s="176"/>
      <c r="G28" s="176"/>
      <c r="H28" s="176"/>
      <c r="I28" s="176"/>
      <c r="J28" s="176"/>
      <c r="K28" s="176"/>
      <c r="L28" s="176"/>
      <c r="M28" s="176"/>
      <c r="N28" s="176"/>
      <c r="O28" s="176"/>
      <c r="P28" s="176"/>
      <c r="Q28" s="176"/>
      <c r="R28" s="176"/>
      <c r="S28" s="176"/>
      <c r="T28" s="176"/>
      <c r="U28" s="176"/>
      <c r="V28" s="176"/>
      <c r="W28" s="176"/>
      <c r="X28" s="177"/>
    </row>
    <row r="29" spans="1:24" s="47" customFormat="1" x14ac:dyDescent="0.3">
      <c r="A29" s="178"/>
      <c r="B29" s="176" t="s">
        <v>40</v>
      </c>
      <c r="C29" s="310"/>
      <c r="D29" s="176"/>
      <c r="E29" s="176"/>
      <c r="F29" s="176"/>
      <c r="G29" s="176"/>
      <c r="H29" s="176"/>
      <c r="I29" s="176"/>
      <c r="J29" s="176"/>
      <c r="K29" s="176"/>
      <c r="L29" s="176"/>
      <c r="M29" s="176"/>
      <c r="N29" s="176"/>
      <c r="O29" s="176"/>
      <c r="P29" s="176"/>
      <c r="Q29" s="176"/>
      <c r="R29" s="176"/>
      <c r="S29" s="176"/>
      <c r="T29" s="176"/>
      <c r="U29" s="176"/>
      <c r="V29" s="176"/>
      <c r="W29" s="176"/>
      <c r="X29" s="177"/>
    </row>
    <row r="30" spans="1:24" s="47" customFormat="1" x14ac:dyDescent="0.3">
      <c r="A30" s="178"/>
      <c r="B30" s="176" t="s">
        <v>130</v>
      </c>
      <c r="C30" s="310"/>
      <c r="D30" s="176"/>
      <c r="E30" s="176"/>
      <c r="F30" s="176"/>
      <c r="G30" s="176"/>
      <c r="H30" s="176"/>
      <c r="I30" s="176"/>
      <c r="J30" s="176"/>
      <c r="K30" s="176"/>
      <c r="L30" s="176"/>
      <c r="M30" s="176"/>
      <c r="N30" s="176"/>
      <c r="O30" s="176"/>
      <c r="P30" s="176"/>
      <c r="Q30" s="176"/>
      <c r="R30" s="176"/>
      <c r="S30" s="176"/>
      <c r="T30" s="176"/>
      <c r="U30" s="176"/>
      <c r="V30" s="176"/>
      <c r="W30" s="176"/>
      <c r="X30" s="177"/>
    </row>
    <row r="31" spans="1:24" s="47" customFormat="1" x14ac:dyDescent="0.3">
      <c r="A31" s="178"/>
      <c r="B31" s="176"/>
      <c r="C31" s="310"/>
      <c r="D31" s="176"/>
      <c r="E31" s="176"/>
      <c r="F31" s="176"/>
      <c r="G31" s="176"/>
      <c r="H31" s="176"/>
      <c r="I31" s="176"/>
      <c r="J31" s="176"/>
      <c r="K31" s="176"/>
      <c r="L31" s="176"/>
      <c r="M31" s="176"/>
      <c r="N31" s="176"/>
      <c r="O31" s="176"/>
      <c r="P31" s="176"/>
      <c r="Q31" s="176"/>
      <c r="R31" s="176"/>
      <c r="S31" s="176"/>
      <c r="T31" s="176"/>
      <c r="U31" s="176"/>
      <c r="V31" s="176"/>
      <c r="W31" s="176"/>
      <c r="X31" s="177"/>
    </row>
    <row r="32" spans="1:24" s="47" customFormat="1" x14ac:dyDescent="0.3">
      <c r="A32" s="178"/>
      <c r="B32" s="179" t="str">
        <f>IF(ISBLANK(C$6),"","General Investment 1 name:")</f>
        <v/>
      </c>
      <c r="C32" s="396"/>
      <c r="D32" s="176"/>
      <c r="E32" s="176" t="str">
        <f>IF(ISBLANK(C$6),"",_xlfn.CONCAT("Balance on January 1, ", C$4))</f>
        <v/>
      </c>
      <c r="F32" s="176"/>
      <c r="G32" s="176"/>
      <c r="H32" s="176"/>
      <c r="I32" s="176"/>
      <c r="J32" s="176"/>
      <c r="K32" s="176"/>
      <c r="L32" s="176"/>
      <c r="M32" s="176"/>
      <c r="N32" s="176"/>
      <c r="O32" s="176"/>
      <c r="P32" s="176"/>
      <c r="Q32" s="176"/>
      <c r="R32" s="176"/>
      <c r="S32" s="176"/>
      <c r="T32" s="176"/>
      <c r="U32" s="176"/>
      <c r="V32" s="176"/>
      <c r="W32" s="176"/>
      <c r="X32" s="177"/>
    </row>
    <row r="33" spans="1:24" x14ac:dyDescent="0.3">
      <c r="A33" s="178"/>
      <c r="B33" s="179" t="str">
        <f>IF(ISBLANK(C$6),"","Balance:")</f>
        <v/>
      </c>
      <c r="C33" s="310"/>
      <c r="D33" s="222"/>
      <c r="E33" s="176" t="str">
        <f>IF(ISBLANK(C$6),"",_xlfn.CONCAT("Balance on January 1, ", C$4))</f>
        <v/>
      </c>
      <c r="F33" s="176"/>
      <c r="G33" s="176"/>
      <c r="H33" s="176"/>
      <c r="I33" s="176"/>
      <c r="J33" s="176"/>
      <c r="K33" s="176"/>
      <c r="L33" s="176"/>
      <c r="M33" s="176"/>
      <c r="N33" s="176"/>
      <c r="O33" s="176"/>
      <c r="P33" s="176"/>
      <c r="Q33" s="176"/>
      <c r="R33" s="176"/>
      <c r="S33" s="176"/>
      <c r="T33" s="176"/>
      <c r="U33" s="176"/>
      <c r="V33" s="176"/>
      <c r="W33" s="176"/>
      <c r="X33" s="177"/>
    </row>
    <row r="34" spans="1:24" x14ac:dyDescent="0.3">
      <c r="A34" s="178"/>
      <c r="B34" s="179"/>
      <c r="C34" s="310"/>
      <c r="D34" s="222"/>
      <c r="E34" s="176"/>
      <c r="F34" s="176"/>
      <c r="G34" s="176"/>
      <c r="H34" s="176"/>
      <c r="I34" s="176"/>
      <c r="J34" s="176"/>
      <c r="K34" s="176"/>
      <c r="L34" s="176"/>
      <c r="M34" s="176"/>
      <c r="N34" s="176"/>
      <c r="O34" s="176"/>
      <c r="P34" s="176"/>
      <c r="Q34" s="176"/>
      <c r="R34" s="176"/>
      <c r="S34" s="176"/>
      <c r="T34" s="176"/>
      <c r="U34" s="176"/>
      <c r="V34" s="176"/>
      <c r="W34" s="176"/>
      <c r="X34" s="177"/>
    </row>
    <row r="35" spans="1:24" x14ac:dyDescent="0.3">
      <c r="A35" s="178"/>
      <c r="B35" s="179" t="str">
        <f>IF(ISBLANK(C$6),"","General Investment 2 name:")</f>
        <v/>
      </c>
      <c r="C35" s="396"/>
      <c r="D35" s="222"/>
      <c r="E35" s="176" t="str">
        <f>IF(ISBLANK(C$6),"",_xlfn.CONCAT("Balance on January 1, ", C$4))</f>
        <v/>
      </c>
      <c r="F35" s="176"/>
      <c r="G35" s="176"/>
      <c r="H35" s="176"/>
      <c r="I35" s="176"/>
      <c r="J35" s="176"/>
      <c r="K35" s="176"/>
      <c r="L35" s="176"/>
      <c r="M35" s="176"/>
      <c r="N35" s="176"/>
      <c r="O35" s="176"/>
      <c r="P35" s="176"/>
      <c r="Q35" s="176"/>
      <c r="R35" s="176"/>
      <c r="S35" s="176"/>
      <c r="T35" s="176"/>
      <c r="U35" s="176"/>
      <c r="V35" s="176"/>
      <c r="W35" s="176"/>
      <c r="X35" s="177"/>
    </row>
    <row r="36" spans="1:24" x14ac:dyDescent="0.3">
      <c r="A36" s="178"/>
      <c r="B36" s="179" t="str">
        <f>IF(ISBLANK(C$6),"","Balance:")</f>
        <v/>
      </c>
      <c r="C36" s="310"/>
      <c r="D36" s="222"/>
      <c r="E36" s="176" t="str">
        <f>IF(ISBLANK(C$6),"",_xlfn.CONCAT("Balance on January 1, ", C$4))</f>
        <v/>
      </c>
      <c r="F36" s="176"/>
      <c r="G36" s="176"/>
      <c r="H36" s="176"/>
      <c r="I36" s="176"/>
      <c r="J36" s="176"/>
      <c r="K36" s="176"/>
      <c r="L36" s="176"/>
      <c r="M36" s="176"/>
      <c r="N36" s="176"/>
      <c r="O36" s="176"/>
      <c r="P36" s="176"/>
      <c r="Q36" s="176"/>
      <c r="R36" s="176"/>
      <c r="S36" s="176"/>
      <c r="T36" s="176"/>
      <c r="U36" s="176"/>
      <c r="V36" s="176"/>
      <c r="W36" s="176"/>
      <c r="X36" s="177"/>
    </row>
    <row r="37" spans="1:24" x14ac:dyDescent="0.3">
      <c r="A37" s="178"/>
      <c r="B37" s="179"/>
      <c r="C37" s="310"/>
      <c r="D37" s="222"/>
      <c r="E37" s="176"/>
      <c r="F37" s="176"/>
      <c r="G37" s="176"/>
      <c r="H37" s="176"/>
      <c r="I37" s="176"/>
      <c r="J37" s="176"/>
      <c r="K37" s="176"/>
      <c r="L37" s="176"/>
      <c r="M37" s="176"/>
      <c r="N37" s="176"/>
      <c r="O37" s="176"/>
      <c r="P37" s="176"/>
      <c r="Q37" s="176"/>
      <c r="R37" s="176"/>
      <c r="S37" s="176"/>
      <c r="T37" s="176"/>
      <c r="U37" s="176"/>
      <c r="V37" s="176"/>
      <c r="W37" s="176"/>
      <c r="X37" s="177"/>
    </row>
    <row r="38" spans="1:24" x14ac:dyDescent="0.3">
      <c r="A38" s="178"/>
      <c r="B38" s="179" t="str">
        <f>IF(ISBLANK(C$6),"","General Investment 3 name:")</f>
        <v/>
      </c>
      <c r="C38" s="396"/>
      <c r="D38" s="222"/>
      <c r="E38" s="176" t="str">
        <f>IF(ISBLANK(C$6),"",_xlfn.CONCAT("Balance on January 1, ", C$4))</f>
        <v/>
      </c>
      <c r="F38" s="176"/>
      <c r="G38" s="176"/>
      <c r="H38" s="176"/>
      <c r="I38" s="176"/>
      <c r="J38" s="176"/>
      <c r="K38" s="176"/>
      <c r="L38" s="176"/>
      <c r="M38" s="176"/>
      <c r="N38" s="176"/>
      <c r="O38" s="176"/>
      <c r="P38" s="176"/>
      <c r="Q38" s="176"/>
      <c r="R38" s="176"/>
      <c r="S38" s="176"/>
      <c r="T38" s="176"/>
      <c r="U38" s="176"/>
      <c r="V38" s="176"/>
      <c r="W38" s="176"/>
      <c r="X38" s="387"/>
    </row>
    <row r="39" spans="1:24" x14ac:dyDescent="0.3">
      <c r="A39" s="178"/>
      <c r="B39" s="179" t="str">
        <f>IF(ISBLANK(C$6),"","Balance:")</f>
        <v/>
      </c>
      <c r="C39" s="310"/>
      <c r="D39" s="222"/>
      <c r="E39" s="176" t="str">
        <f>IF(ISBLANK(C$6),"",_xlfn.CONCAT("Balance on January 1, ", C$4))</f>
        <v/>
      </c>
      <c r="F39" s="176"/>
      <c r="G39" s="176"/>
      <c r="H39" s="176"/>
      <c r="I39" s="176"/>
      <c r="J39" s="176"/>
      <c r="K39" s="176"/>
      <c r="L39" s="176"/>
      <c r="M39" s="176"/>
      <c r="N39" s="176"/>
      <c r="O39" s="176"/>
      <c r="P39" s="176"/>
      <c r="Q39" s="176"/>
      <c r="R39" s="176"/>
      <c r="S39" s="176"/>
      <c r="T39" s="176"/>
      <c r="U39" s="176"/>
      <c r="V39" s="176"/>
      <c r="W39" s="176"/>
      <c r="X39" s="177"/>
    </row>
    <row r="40" spans="1:24" x14ac:dyDescent="0.3">
      <c r="A40" s="178"/>
      <c r="B40" s="179"/>
      <c r="C40" s="310"/>
      <c r="D40" s="222"/>
      <c r="E40" s="176"/>
      <c r="F40" s="176"/>
      <c r="G40" s="176"/>
      <c r="H40" s="176"/>
      <c r="I40" s="176"/>
      <c r="J40" s="176"/>
      <c r="K40" s="176"/>
      <c r="L40" s="176"/>
      <c r="M40" s="176"/>
      <c r="N40" s="176"/>
      <c r="O40" s="176"/>
      <c r="P40" s="176"/>
      <c r="Q40" s="176"/>
      <c r="R40" s="176"/>
      <c r="S40" s="176"/>
      <c r="T40" s="176"/>
      <c r="U40" s="176"/>
      <c r="V40" s="176"/>
      <c r="W40" s="176"/>
      <c r="X40" s="177"/>
    </row>
    <row r="41" spans="1:24" x14ac:dyDescent="0.3">
      <c r="A41" s="178"/>
      <c r="B41" s="179" t="str">
        <f>IF(ISBLANK(C$6),"","General Investment 4 name:")</f>
        <v/>
      </c>
      <c r="C41" s="396"/>
      <c r="D41" s="222"/>
      <c r="E41" s="176" t="str">
        <f>IF(ISBLANK(C$6),"",_xlfn.CONCAT("Balance on January 1, ", C$4))</f>
        <v/>
      </c>
      <c r="F41" s="176"/>
      <c r="G41" s="176"/>
      <c r="H41" s="176"/>
      <c r="I41" s="176"/>
      <c r="J41" s="176"/>
      <c r="K41" s="176"/>
      <c r="L41" s="176"/>
      <c r="M41" s="176"/>
      <c r="N41" s="176"/>
      <c r="O41" s="176"/>
      <c r="P41" s="176"/>
      <c r="Q41" s="176"/>
      <c r="R41" s="176"/>
      <c r="S41" s="176"/>
      <c r="T41" s="176"/>
      <c r="U41" s="176"/>
      <c r="V41" s="176"/>
      <c r="W41" s="176"/>
      <c r="X41" s="177"/>
    </row>
    <row r="42" spans="1:24" x14ac:dyDescent="0.3">
      <c r="A42" s="178"/>
      <c r="B42" s="179" t="str">
        <f>IF(ISBLANK(C$6),"","Balance:")</f>
        <v/>
      </c>
      <c r="C42" s="310"/>
      <c r="D42" s="222"/>
      <c r="E42" s="176" t="str">
        <f>IF(ISBLANK(C$6),"",_xlfn.CONCAT("Balance on January 1, ", C$4))</f>
        <v/>
      </c>
      <c r="F42" s="176"/>
      <c r="G42" s="176"/>
      <c r="H42" s="176"/>
      <c r="I42" s="176"/>
      <c r="J42" s="176"/>
      <c r="K42" s="176"/>
      <c r="L42" s="176"/>
      <c r="M42" s="176"/>
      <c r="N42" s="176"/>
      <c r="O42" s="176"/>
      <c r="P42" s="176"/>
      <c r="Q42" s="176"/>
      <c r="R42" s="176"/>
      <c r="S42" s="176"/>
      <c r="T42" s="176"/>
      <c r="U42" s="176"/>
      <c r="V42" s="176"/>
      <c r="W42" s="176"/>
      <c r="X42" s="177"/>
    </row>
    <row r="43" spans="1:24" x14ac:dyDescent="0.3">
      <c r="A43" s="172"/>
      <c r="B43" s="173"/>
      <c r="C43" s="311"/>
      <c r="D43" s="174"/>
      <c r="E43" s="174"/>
      <c r="F43" s="174"/>
      <c r="G43" s="174"/>
      <c r="H43" s="174"/>
      <c r="I43" s="174"/>
      <c r="J43" s="174"/>
      <c r="K43" s="174"/>
      <c r="L43" s="174"/>
      <c r="M43" s="174"/>
      <c r="N43" s="174"/>
      <c r="O43" s="174"/>
      <c r="P43" s="174"/>
      <c r="Q43" s="174"/>
      <c r="R43" s="174"/>
      <c r="S43" s="174"/>
      <c r="T43" s="174"/>
      <c r="U43" s="174"/>
      <c r="V43" s="174"/>
      <c r="W43" s="174"/>
      <c r="X43" s="175"/>
    </row>
    <row r="44" spans="1:24" x14ac:dyDescent="0.3">
      <c r="B44" s="22"/>
      <c r="C44" s="312"/>
      <c r="Q44" s="48"/>
    </row>
    <row r="45" spans="1:24" ht="18" x14ac:dyDescent="0.35">
      <c r="A45" s="258" t="s">
        <v>199</v>
      </c>
      <c r="B45" s="181"/>
      <c r="C45" s="299"/>
      <c r="D45" s="181"/>
      <c r="E45" s="181"/>
      <c r="F45" s="181"/>
      <c r="G45" s="181"/>
      <c r="H45" s="184"/>
      <c r="I45" s="181"/>
      <c r="J45" s="181"/>
      <c r="K45" s="181"/>
      <c r="L45" s="181"/>
      <c r="M45" s="181"/>
      <c r="N45" s="181"/>
      <c r="O45" s="181"/>
      <c r="P45" s="181"/>
      <c r="Q45" s="181"/>
      <c r="R45" s="181"/>
      <c r="S45" s="181"/>
      <c r="T45" s="181"/>
      <c r="U45" s="181"/>
      <c r="V45" s="181"/>
      <c r="W45" s="181"/>
      <c r="X45" s="182"/>
    </row>
    <row r="46" spans="1:24" s="141" customFormat="1" x14ac:dyDescent="0.3">
      <c r="A46" s="262"/>
      <c r="B46" s="259"/>
      <c r="C46" s="314"/>
      <c r="D46" s="259"/>
      <c r="E46" s="259"/>
      <c r="F46" s="259"/>
      <c r="G46" s="259"/>
      <c r="H46" s="263"/>
      <c r="I46" s="259"/>
      <c r="J46" s="259"/>
      <c r="K46" s="259"/>
      <c r="L46" s="259"/>
      <c r="M46" s="259"/>
      <c r="N46" s="259"/>
      <c r="O46" s="259"/>
      <c r="P46" s="259"/>
      <c r="Q46" s="259"/>
      <c r="R46" s="259"/>
      <c r="S46" s="259"/>
      <c r="T46" s="259"/>
      <c r="U46" s="259"/>
      <c r="V46" s="259"/>
      <c r="W46" s="259"/>
      <c r="X46" s="260"/>
    </row>
    <row r="47" spans="1:24" x14ac:dyDescent="0.3">
      <c r="A47" s="178"/>
      <c r="B47" s="176" t="s">
        <v>217</v>
      </c>
      <c r="C47" s="300"/>
      <c r="D47" s="176"/>
      <c r="E47" s="176"/>
      <c r="F47" s="176"/>
      <c r="G47" s="176"/>
      <c r="H47" s="185"/>
      <c r="I47" s="176"/>
      <c r="J47" s="176"/>
      <c r="K47" s="176"/>
      <c r="L47" s="176"/>
      <c r="M47" s="176"/>
      <c r="N47" s="176"/>
      <c r="O47" s="176"/>
      <c r="P47" s="176"/>
      <c r="Q47" s="176"/>
      <c r="R47" s="176"/>
      <c r="S47" s="176"/>
      <c r="T47" s="176"/>
      <c r="U47" s="176"/>
      <c r="V47" s="176"/>
      <c r="W47" s="176"/>
      <c r="X47" s="177"/>
    </row>
    <row r="48" spans="1:24" x14ac:dyDescent="0.3">
      <c r="A48" s="178"/>
      <c r="B48" s="176"/>
      <c r="C48" s="300"/>
      <c r="D48" s="176"/>
      <c r="E48" s="176"/>
      <c r="F48" s="176"/>
      <c r="G48" s="176"/>
      <c r="H48" s="185"/>
      <c r="I48" s="176"/>
      <c r="J48" s="176"/>
      <c r="K48" s="176"/>
      <c r="L48" s="176"/>
      <c r="M48" s="176"/>
      <c r="N48" s="176"/>
      <c r="O48" s="176"/>
      <c r="P48" s="176"/>
      <c r="Q48" s="176"/>
      <c r="R48" s="176"/>
      <c r="S48" s="176"/>
      <c r="T48" s="176"/>
      <c r="U48" s="176"/>
      <c r="V48" s="176"/>
      <c r="W48" s="176"/>
      <c r="X48" s="177"/>
    </row>
    <row r="49" spans="1:24" x14ac:dyDescent="0.3">
      <c r="A49" s="178"/>
      <c r="B49" s="179" t="str">
        <f>IF(ISBLANK(C6),"",_xlfn.CONCAT(C6,"'s life insurance:"))</f>
        <v/>
      </c>
      <c r="C49" s="310"/>
      <c r="D49" s="222"/>
      <c r="E49" s="176" t="str">
        <f>IF(ISBLANK(C6),"","Enter total of all life insurance policies. Periodically update as needed.")</f>
        <v/>
      </c>
      <c r="F49" s="176"/>
      <c r="G49" s="176"/>
      <c r="H49" s="176"/>
      <c r="I49" s="176"/>
      <c r="J49" s="176"/>
      <c r="K49" s="176"/>
      <c r="L49" s="176"/>
      <c r="M49" s="176"/>
      <c r="N49" s="176"/>
      <c r="O49" s="176"/>
      <c r="P49" s="176"/>
      <c r="Q49" s="176"/>
      <c r="R49" s="176"/>
      <c r="S49" s="176"/>
      <c r="T49" s="176"/>
      <c r="U49" s="176"/>
      <c r="V49" s="176"/>
      <c r="W49" s="176"/>
      <c r="X49" s="177"/>
    </row>
    <row r="50" spans="1:24" x14ac:dyDescent="0.3">
      <c r="A50" s="178"/>
      <c r="B50" s="179" t="str">
        <f>IF(OR(ISBLANK(C6),ISBLANK(C9)),"",_xlfn.CONCAT(C9,"'s life insurance:"))</f>
        <v/>
      </c>
      <c r="C50" s="310"/>
      <c r="D50" s="222"/>
      <c r="E50" s="176" t="str">
        <f>IF(OR(ISBLANK(C6),ISBLANK(C9)),"","Enter total of all life insurance policies. Periodically update as needed.")</f>
        <v/>
      </c>
      <c r="F50" s="176"/>
      <c r="G50" s="176"/>
      <c r="H50" s="176"/>
      <c r="I50" s="176"/>
      <c r="J50" s="176"/>
      <c r="K50" s="176"/>
      <c r="L50" s="176"/>
      <c r="M50" s="176"/>
      <c r="N50" s="176"/>
      <c r="O50" s="176"/>
      <c r="P50" s="176"/>
      <c r="Q50" s="176"/>
      <c r="R50" s="176"/>
      <c r="S50" s="176"/>
      <c r="T50" s="176"/>
      <c r="U50" s="176"/>
      <c r="V50" s="176"/>
      <c r="W50" s="176"/>
      <c r="X50" s="177"/>
    </row>
    <row r="51" spans="1:24" x14ac:dyDescent="0.3">
      <c r="A51" s="172"/>
      <c r="B51" s="173"/>
      <c r="C51" s="311"/>
      <c r="D51" s="174"/>
      <c r="E51" s="174"/>
      <c r="F51" s="174"/>
      <c r="G51" s="174"/>
      <c r="H51" s="174"/>
      <c r="I51" s="174"/>
      <c r="J51" s="174"/>
      <c r="K51" s="174"/>
      <c r="L51" s="174"/>
      <c r="M51" s="174"/>
      <c r="N51" s="174"/>
      <c r="O51" s="174"/>
      <c r="P51" s="174"/>
      <c r="Q51" s="174"/>
      <c r="R51" s="174"/>
      <c r="S51" s="174"/>
      <c r="T51" s="174"/>
      <c r="U51" s="174"/>
      <c r="V51" s="174"/>
      <c r="W51" s="174"/>
      <c r="X51" s="175"/>
    </row>
    <row r="52" spans="1:24" x14ac:dyDescent="0.3">
      <c r="B52" s="22"/>
      <c r="C52" s="312"/>
      <c r="Q52" s="48"/>
    </row>
    <row r="53" spans="1:24" ht="18" x14ac:dyDescent="0.35">
      <c r="A53" s="258" t="s">
        <v>198</v>
      </c>
      <c r="B53" s="183"/>
      <c r="C53" s="313"/>
      <c r="D53" s="181"/>
      <c r="E53" s="181"/>
      <c r="F53" s="181"/>
      <c r="G53" s="181"/>
      <c r="H53" s="181"/>
      <c r="I53" s="181"/>
      <c r="J53" s="181"/>
      <c r="K53" s="181"/>
      <c r="L53" s="181"/>
      <c r="M53" s="181"/>
      <c r="N53" s="181"/>
      <c r="O53" s="181"/>
      <c r="P53" s="181"/>
      <c r="Q53" s="181"/>
      <c r="R53" s="181"/>
      <c r="S53" s="181"/>
      <c r="T53" s="181"/>
      <c r="U53" s="181"/>
      <c r="V53" s="181"/>
      <c r="W53" s="181"/>
      <c r="X53" s="182"/>
    </row>
    <row r="54" spans="1:24" s="141" customFormat="1" x14ac:dyDescent="0.3">
      <c r="A54" s="262"/>
      <c r="B54" s="190"/>
      <c r="C54" s="315"/>
      <c r="D54" s="259"/>
      <c r="E54" s="259"/>
      <c r="F54" s="259"/>
      <c r="G54" s="259"/>
      <c r="H54" s="259"/>
      <c r="I54" s="259"/>
      <c r="J54" s="259"/>
      <c r="K54" s="259"/>
      <c r="L54" s="259"/>
      <c r="M54" s="259"/>
      <c r="N54" s="259"/>
      <c r="O54" s="259"/>
      <c r="P54" s="259"/>
      <c r="Q54" s="259"/>
      <c r="R54" s="259"/>
      <c r="S54" s="259"/>
      <c r="T54" s="259"/>
      <c r="U54" s="259"/>
      <c r="V54" s="259"/>
      <c r="W54" s="259"/>
      <c r="X54" s="260"/>
    </row>
    <row r="55" spans="1:24" x14ac:dyDescent="0.3">
      <c r="A55" s="178"/>
      <c r="B55" s="187" t="s">
        <v>195</v>
      </c>
      <c r="C55" s="310"/>
      <c r="D55" s="176"/>
      <c r="E55" s="176"/>
      <c r="F55" s="176"/>
      <c r="G55" s="176"/>
      <c r="H55" s="176"/>
      <c r="I55" s="176"/>
      <c r="J55" s="176"/>
      <c r="K55" s="176"/>
      <c r="L55" s="176"/>
      <c r="M55" s="176"/>
      <c r="N55" s="176"/>
      <c r="O55" s="176"/>
      <c r="P55" s="176"/>
      <c r="Q55" s="176"/>
      <c r="R55" s="176"/>
      <c r="S55" s="176"/>
      <c r="T55" s="176"/>
      <c r="U55" s="176"/>
      <c r="V55" s="176"/>
      <c r="W55" s="176"/>
      <c r="X55" s="177"/>
    </row>
    <row r="56" spans="1:24" x14ac:dyDescent="0.3">
      <c r="A56" s="178"/>
      <c r="B56" s="187" t="s">
        <v>129</v>
      </c>
      <c r="C56" s="310"/>
      <c r="D56" s="176"/>
      <c r="E56" s="176"/>
      <c r="F56" s="176"/>
      <c r="G56" s="176"/>
      <c r="H56" s="176"/>
      <c r="I56" s="176"/>
      <c r="J56" s="176"/>
      <c r="K56" s="176"/>
      <c r="L56" s="176"/>
      <c r="M56" s="176"/>
      <c r="N56" s="176"/>
      <c r="O56" s="176"/>
      <c r="P56" s="176"/>
      <c r="Q56" s="176"/>
      <c r="R56" s="176"/>
      <c r="S56" s="176"/>
      <c r="T56" s="176"/>
      <c r="U56" s="176"/>
      <c r="V56" s="176"/>
      <c r="W56" s="176"/>
      <c r="X56" s="177"/>
    </row>
    <row r="57" spans="1:24" x14ac:dyDescent="0.3">
      <c r="A57" s="178"/>
      <c r="B57" s="176" t="s">
        <v>128</v>
      </c>
      <c r="C57" s="310"/>
      <c r="D57" s="176"/>
      <c r="E57" s="176"/>
      <c r="F57" s="176"/>
      <c r="G57" s="176"/>
      <c r="H57" s="176"/>
      <c r="I57" s="176"/>
      <c r="J57" s="176"/>
      <c r="K57" s="176"/>
      <c r="L57" s="176"/>
      <c r="M57" s="176"/>
      <c r="N57" s="176"/>
      <c r="O57" s="176"/>
      <c r="P57" s="176"/>
      <c r="Q57" s="176"/>
      <c r="R57" s="176"/>
      <c r="S57" s="176"/>
      <c r="T57" s="176"/>
      <c r="U57" s="176"/>
      <c r="V57" s="176"/>
      <c r="W57" s="176"/>
      <c r="X57" s="177"/>
    </row>
    <row r="58" spans="1:24" x14ac:dyDescent="0.3">
      <c r="A58" s="178"/>
      <c r="B58" s="176" t="s">
        <v>127</v>
      </c>
      <c r="C58" s="310"/>
      <c r="D58" s="176"/>
      <c r="E58" s="176"/>
      <c r="F58" s="176"/>
      <c r="G58" s="176"/>
      <c r="H58" s="176"/>
      <c r="I58" s="176"/>
      <c r="J58" s="176"/>
      <c r="K58" s="176"/>
      <c r="L58" s="176"/>
      <c r="M58" s="176"/>
      <c r="N58" s="176"/>
      <c r="O58" s="176"/>
      <c r="P58" s="176"/>
      <c r="Q58" s="176"/>
      <c r="R58" s="176"/>
      <c r="S58" s="176"/>
      <c r="T58" s="176"/>
      <c r="U58" s="176"/>
      <c r="V58" s="176"/>
      <c r="W58" s="176"/>
      <c r="X58" s="177"/>
    </row>
    <row r="59" spans="1:24" x14ac:dyDescent="0.3">
      <c r="A59" s="178"/>
      <c r="B59" s="176" t="s">
        <v>197</v>
      </c>
      <c r="C59" s="310"/>
      <c r="D59" s="176"/>
      <c r="E59" s="176"/>
      <c r="F59" s="176"/>
      <c r="G59" s="176"/>
      <c r="H59" s="176"/>
      <c r="I59" s="176"/>
      <c r="J59" s="176"/>
      <c r="K59" s="176"/>
      <c r="L59" s="176"/>
      <c r="M59" s="176"/>
      <c r="N59" s="176"/>
      <c r="O59" s="176"/>
      <c r="P59" s="176"/>
      <c r="Q59" s="176"/>
      <c r="R59" s="176"/>
      <c r="S59" s="176"/>
      <c r="T59" s="176"/>
      <c r="U59" s="176"/>
      <c r="V59" s="176"/>
      <c r="W59" s="176"/>
      <c r="X59" s="177"/>
    </row>
    <row r="60" spans="1:24" x14ac:dyDescent="0.3">
      <c r="A60" s="178"/>
      <c r="B60" s="187"/>
      <c r="C60" s="310"/>
      <c r="D60" s="176"/>
      <c r="E60" s="176"/>
      <c r="F60" s="176"/>
      <c r="G60" s="176"/>
      <c r="H60" s="176"/>
      <c r="I60" s="176"/>
      <c r="J60" s="176"/>
      <c r="K60" s="176"/>
      <c r="L60" s="176"/>
      <c r="M60" s="176"/>
      <c r="N60" s="176"/>
      <c r="O60" s="176"/>
      <c r="P60" s="176"/>
      <c r="Q60" s="176"/>
      <c r="R60" s="176"/>
      <c r="S60" s="176"/>
      <c r="T60" s="176"/>
      <c r="U60" s="176"/>
      <c r="V60" s="176"/>
      <c r="W60" s="176"/>
      <c r="X60" s="177"/>
    </row>
    <row r="61" spans="1:24" x14ac:dyDescent="0.3">
      <c r="A61" s="178"/>
      <c r="B61" s="179" t="str">
        <f>IF(ISBLANK(C$6),"","Lump sum 1 name:")</f>
        <v/>
      </c>
      <c r="C61" s="396"/>
      <c r="D61" s="176"/>
      <c r="E61" s="176"/>
      <c r="F61" s="176"/>
      <c r="G61" s="176"/>
      <c r="H61" s="176"/>
      <c r="I61" s="176"/>
      <c r="J61" s="176"/>
      <c r="K61" s="176"/>
      <c r="L61" s="176"/>
      <c r="M61" s="176"/>
      <c r="N61" s="176"/>
      <c r="O61" s="176"/>
      <c r="P61" s="176"/>
      <c r="Q61" s="176"/>
      <c r="R61" s="176"/>
      <c r="S61" s="176"/>
      <c r="T61" s="176"/>
      <c r="U61" s="176"/>
      <c r="V61" s="176"/>
      <c r="W61" s="176"/>
      <c r="X61" s="177"/>
    </row>
    <row r="62" spans="1:24" x14ac:dyDescent="0.3">
      <c r="A62" s="178"/>
      <c r="B62" s="179" t="str">
        <f>IF(ISBLANK(C$6),"","Lump sum amount:")</f>
        <v/>
      </c>
      <c r="C62" s="310"/>
      <c r="D62" s="176"/>
      <c r="E62" s="176"/>
      <c r="F62" s="176"/>
      <c r="G62" s="176"/>
      <c r="H62" s="176"/>
      <c r="I62" s="176"/>
      <c r="J62" s="176"/>
      <c r="K62" s="176"/>
      <c r="L62" s="176"/>
      <c r="M62" s="176"/>
      <c r="N62" s="176"/>
      <c r="O62" s="176"/>
      <c r="P62" s="176"/>
      <c r="Q62" s="176"/>
      <c r="R62" s="176"/>
      <c r="S62" s="176"/>
      <c r="T62" s="176"/>
      <c r="U62" s="176"/>
      <c r="V62" s="176"/>
      <c r="W62" s="176"/>
      <c r="X62" s="177"/>
    </row>
    <row r="63" spans="1:24" x14ac:dyDescent="0.3">
      <c r="A63" s="178"/>
      <c r="B63" s="179" t="str">
        <f>IF(ISBLANK(C$6),"","Estimated year:")</f>
        <v/>
      </c>
      <c r="C63" s="396"/>
      <c r="D63" s="176"/>
      <c r="E63" s="176"/>
      <c r="F63" s="176"/>
      <c r="G63" s="176"/>
      <c r="H63" s="176"/>
      <c r="I63" s="176"/>
      <c r="J63" s="176"/>
      <c r="K63" s="176"/>
      <c r="L63" s="176"/>
      <c r="M63" s="176"/>
      <c r="N63" s="176"/>
      <c r="O63" s="176"/>
      <c r="P63" s="176"/>
      <c r="Q63" s="176"/>
      <c r="R63" s="176"/>
      <c r="S63" s="176"/>
      <c r="T63" s="176"/>
      <c r="U63" s="176"/>
      <c r="V63" s="176"/>
      <c r="W63" s="176"/>
      <c r="X63" s="177"/>
    </row>
    <row r="64" spans="1:24" x14ac:dyDescent="0.3">
      <c r="A64" s="178"/>
      <c r="B64" s="179"/>
      <c r="C64" s="310"/>
      <c r="D64" s="176"/>
      <c r="E64" s="176"/>
      <c r="F64" s="176"/>
      <c r="G64" s="176"/>
      <c r="H64" s="176"/>
      <c r="I64" s="176"/>
      <c r="J64" s="176"/>
      <c r="K64" s="176"/>
      <c r="L64" s="176"/>
      <c r="M64" s="176"/>
      <c r="N64" s="176"/>
      <c r="O64" s="176"/>
      <c r="P64" s="176"/>
      <c r="Q64" s="176"/>
      <c r="R64" s="176"/>
      <c r="S64" s="176"/>
      <c r="T64" s="176"/>
      <c r="U64" s="176"/>
      <c r="V64" s="176"/>
      <c r="W64" s="176"/>
      <c r="X64" s="177"/>
    </row>
    <row r="65" spans="1:24" x14ac:dyDescent="0.3">
      <c r="A65" s="178"/>
      <c r="B65" s="179" t="str">
        <f>IF(ISBLANK(C$6),"","Lump sum 2 name:")</f>
        <v/>
      </c>
      <c r="C65" s="396"/>
      <c r="D65" s="176"/>
      <c r="E65" s="176"/>
      <c r="F65" s="176"/>
      <c r="G65" s="176"/>
      <c r="H65" s="176"/>
      <c r="I65" s="176"/>
      <c r="J65" s="176"/>
      <c r="K65" s="176"/>
      <c r="L65" s="176"/>
      <c r="M65" s="176"/>
      <c r="N65" s="176"/>
      <c r="O65" s="176"/>
      <c r="P65" s="176"/>
      <c r="Q65" s="176"/>
      <c r="R65" s="176"/>
      <c r="S65" s="176"/>
      <c r="T65" s="176"/>
      <c r="U65" s="176"/>
      <c r="V65" s="176"/>
      <c r="W65" s="176"/>
      <c r="X65" s="177"/>
    </row>
    <row r="66" spans="1:24" x14ac:dyDescent="0.3">
      <c r="A66" s="178"/>
      <c r="B66" s="179" t="str">
        <f>IF(ISBLANK(C$6),"","Lump sum amount:")</f>
        <v/>
      </c>
      <c r="C66" s="310"/>
      <c r="D66" s="176"/>
      <c r="E66" s="176"/>
      <c r="F66" s="176"/>
      <c r="G66" s="176"/>
      <c r="H66" s="176"/>
      <c r="I66" s="176"/>
      <c r="J66" s="176"/>
      <c r="K66" s="176"/>
      <c r="L66" s="176"/>
      <c r="M66" s="176"/>
      <c r="N66" s="176"/>
      <c r="O66" s="176"/>
      <c r="P66" s="176"/>
      <c r="Q66" s="176"/>
      <c r="R66" s="176"/>
      <c r="S66" s="176"/>
      <c r="T66" s="176"/>
      <c r="U66" s="176"/>
      <c r="V66" s="176"/>
      <c r="W66" s="176"/>
      <c r="X66" s="177"/>
    </row>
    <row r="67" spans="1:24" x14ac:dyDescent="0.3">
      <c r="A67" s="178"/>
      <c r="B67" s="179" t="str">
        <f>IF(ISBLANK(C$6),"","Estimated year:")</f>
        <v/>
      </c>
      <c r="C67" s="396"/>
      <c r="D67" s="176"/>
      <c r="E67" s="176"/>
      <c r="F67" s="176"/>
      <c r="G67" s="176"/>
      <c r="H67" s="176"/>
      <c r="I67" s="176"/>
      <c r="J67" s="176"/>
      <c r="K67" s="176"/>
      <c r="L67" s="176"/>
      <c r="M67" s="176"/>
      <c r="N67" s="176"/>
      <c r="O67" s="176"/>
      <c r="P67" s="176"/>
      <c r="Q67" s="176"/>
      <c r="R67" s="176"/>
      <c r="S67" s="176"/>
      <c r="T67" s="176"/>
      <c r="U67" s="176"/>
      <c r="V67" s="176"/>
      <c r="W67" s="176"/>
      <c r="X67" s="177"/>
    </row>
    <row r="68" spans="1:24" x14ac:dyDescent="0.3">
      <c r="A68" s="178"/>
      <c r="B68" s="186"/>
      <c r="C68" s="316"/>
      <c r="D68" s="176"/>
      <c r="E68" s="176"/>
      <c r="F68" s="176"/>
      <c r="G68" s="176"/>
      <c r="H68" s="176"/>
      <c r="I68" s="176"/>
      <c r="J68" s="176"/>
      <c r="K68" s="176"/>
      <c r="L68" s="176"/>
      <c r="M68" s="176"/>
      <c r="N68" s="176"/>
      <c r="O68" s="176"/>
      <c r="P68" s="176"/>
      <c r="Q68" s="176"/>
      <c r="R68" s="176"/>
      <c r="S68" s="176"/>
      <c r="T68" s="176"/>
      <c r="U68" s="176"/>
      <c r="V68" s="176"/>
      <c r="W68" s="176"/>
      <c r="X68" s="177"/>
    </row>
    <row r="69" spans="1:24" x14ac:dyDescent="0.3">
      <c r="A69" s="178"/>
      <c r="B69" s="179" t="str">
        <f>IF(ISBLANK(C$6),"","Lump sum 3 name:")</f>
        <v/>
      </c>
      <c r="C69" s="396"/>
      <c r="D69" s="176"/>
      <c r="E69" s="176"/>
      <c r="F69" s="176"/>
      <c r="G69" s="176"/>
      <c r="H69" s="176"/>
      <c r="I69" s="176"/>
      <c r="J69" s="176"/>
      <c r="K69" s="176"/>
      <c r="L69" s="176"/>
      <c r="M69" s="176"/>
      <c r="N69" s="176"/>
      <c r="O69" s="176"/>
      <c r="P69" s="176"/>
      <c r="Q69" s="176"/>
      <c r="R69" s="176"/>
      <c r="S69" s="176"/>
      <c r="T69" s="176"/>
      <c r="U69" s="176"/>
      <c r="V69" s="176"/>
      <c r="W69" s="176"/>
      <c r="X69" s="177"/>
    </row>
    <row r="70" spans="1:24" x14ac:dyDescent="0.3">
      <c r="A70" s="178"/>
      <c r="B70" s="179" t="str">
        <f>IF(ISBLANK(C$6),"","Lump sum amount:")</f>
        <v/>
      </c>
      <c r="C70" s="310"/>
      <c r="D70" s="176"/>
      <c r="E70" s="176"/>
      <c r="F70" s="176"/>
      <c r="G70" s="176"/>
      <c r="H70" s="176"/>
      <c r="I70" s="176"/>
      <c r="J70" s="176"/>
      <c r="K70" s="176"/>
      <c r="L70" s="176"/>
      <c r="M70" s="176"/>
      <c r="N70" s="176"/>
      <c r="O70" s="176"/>
      <c r="P70" s="176"/>
      <c r="Q70" s="176"/>
      <c r="R70" s="176"/>
      <c r="S70" s="176"/>
      <c r="T70" s="176"/>
      <c r="U70" s="176"/>
      <c r="V70" s="176"/>
      <c r="W70" s="176"/>
      <c r="X70" s="177"/>
    </row>
    <row r="71" spans="1:24" x14ac:dyDescent="0.3">
      <c r="A71" s="178"/>
      <c r="B71" s="179" t="str">
        <f>IF(ISBLANK(C$6),"","Estimated year:")</f>
        <v/>
      </c>
      <c r="C71" s="396"/>
      <c r="D71" s="176"/>
      <c r="E71" s="176"/>
      <c r="F71" s="176"/>
      <c r="G71" s="176"/>
      <c r="H71" s="176"/>
      <c r="I71" s="176"/>
      <c r="J71" s="176"/>
      <c r="K71" s="176"/>
      <c r="L71" s="176"/>
      <c r="M71" s="176"/>
      <c r="N71" s="176"/>
      <c r="O71" s="176"/>
      <c r="P71" s="176"/>
      <c r="Q71" s="176"/>
      <c r="R71" s="176"/>
      <c r="S71" s="176"/>
      <c r="T71" s="176"/>
      <c r="U71" s="176"/>
      <c r="V71" s="176"/>
      <c r="W71" s="176"/>
      <c r="X71" s="177"/>
    </row>
    <row r="72" spans="1:24" x14ac:dyDescent="0.3">
      <c r="A72" s="178"/>
      <c r="B72" s="186"/>
      <c r="C72" s="317"/>
      <c r="D72" s="176"/>
      <c r="E72" s="176"/>
      <c r="F72" s="176"/>
      <c r="G72" s="176"/>
      <c r="H72" s="176"/>
      <c r="I72" s="176"/>
      <c r="J72" s="176"/>
      <c r="K72" s="176"/>
      <c r="L72" s="176"/>
      <c r="M72" s="176"/>
      <c r="N72" s="176"/>
      <c r="O72" s="176"/>
      <c r="P72" s="176"/>
      <c r="Q72" s="176"/>
      <c r="R72" s="176"/>
      <c r="S72" s="176"/>
      <c r="T72" s="176"/>
      <c r="U72" s="176"/>
      <c r="V72" s="176"/>
      <c r="W72" s="176"/>
      <c r="X72" s="177"/>
    </row>
    <row r="73" spans="1:24" x14ac:dyDescent="0.3">
      <c r="A73" s="178"/>
      <c r="B73" s="179" t="str">
        <f>IF(ISBLANK(C$6),"","Lump sum 4 name:")</f>
        <v/>
      </c>
      <c r="C73" s="396"/>
      <c r="D73" s="176"/>
      <c r="E73" s="176"/>
      <c r="F73" s="176"/>
      <c r="G73" s="176"/>
      <c r="H73" s="176"/>
      <c r="I73" s="176"/>
      <c r="J73" s="176"/>
      <c r="K73" s="176"/>
      <c r="L73" s="176"/>
      <c r="M73" s="176"/>
      <c r="N73" s="176"/>
      <c r="O73" s="176"/>
      <c r="P73" s="176"/>
      <c r="Q73" s="176"/>
      <c r="R73" s="176"/>
      <c r="S73" s="176"/>
      <c r="T73" s="176"/>
      <c r="U73" s="176"/>
      <c r="V73" s="176"/>
      <c r="W73" s="176"/>
      <c r="X73" s="177"/>
    </row>
    <row r="74" spans="1:24" x14ac:dyDescent="0.3">
      <c r="A74" s="178"/>
      <c r="B74" s="179" t="str">
        <f>IF(ISBLANK(C$6),"","Lump sum amount:")</f>
        <v/>
      </c>
      <c r="C74" s="310"/>
      <c r="D74" s="176"/>
      <c r="E74" s="176"/>
      <c r="F74" s="176"/>
      <c r="G74" s="176"/>
      <c r="H74" s="176"/>
      <c r="I74" s="176"/>
      <c r="J74" s="176"/>
      <c r="K74" s="176"/>
      <c r="L74" s="176"/>
      <c r="M74" s="176"/>
      <c r="N74" s="176"/>
      <c r="O74" s="176"/>
      <c r="P74" s="176"/>
      <c r="Q74" s="176"/>
      <c r="R74" s="176"/>
      <c r="S74" s="176"/>
      <c r="T74" s="176"/>
      <c r="U74" s="176"/>
      <c r="V74" s="176"/>
      <c r="W74" s="176"/>
      <c r="X74" s="177"/>
    </row>
    <row r="75" spans="1:24" x14ac:dyDescent="0.3">
      <c r="A75" s="178"/>
      <c r="B75" s="179" t="str">
        <f>IF(ISBLANK(C$6),"","Estimated year:")</f>
        <v/>
      </c>
      <c r="C75" s="396"/>
      <c r="D75" s="176"/>
      <c r="E75" s="176"/>
      <c r="F75" s="176"/>
      <c r="G75" s="176"/>
      <c r="H75" s="176"/>
      <c r="I75" s="176"/>
      <c r="J75" s="176"/>
      <c r="K75" s="176"/>
      <c r="L75" s="176"/>
      <c r="M75" s="176"/>
      <c r="N75" s="176"/>
      <c r="O75" s="176"/>
      <c r="P75" s="176"/>
      <c r="Q75" s="176"/>
      <c r="R75" s="176"/>
      <c r="S75" s="176"/>
      <c r="T75" s="176"/>
      <c r="U75" s="176"/>
      <c r="V75" s="176"/>
      <c r="W75" s="176"/>
      <c r="X75" s="177"/>
    </row>
    <row r="76" spans="1:24" x14ac:dyDescent="0.3">
      <c r="A76" s="172"/>
      <c r="B76" s="173"/>
      <c r="C76" s="311"/>
      <c r="D76" s="174"/>
      <c r="E76" s="174"/>
      <c r="F76" s="174"/>
      <c r="G76" s="174"/>
      <c r="H76" s="174"/>
      <c r="I76" s="174"/>
      <c r="J76" s="174"/>
      <c r="K76" s="174"/>
      <c r="L76" s="174"/>
      <c r="M76" s="174"/>
      <c r="N76" s="174"/>
      <c r="O76" s="174"/>
      <c r="P76" s="174"/>
      <c r="Q76" s="174"/>
      <c r="R76" s="174"/>
      <c r="S76" s="174"/>
      <c r="T76" s="174"/>
      <c r="U76" s="174"/>
      <c r="V76" s="174"/>
      <c r="W76" s="174"/>
      <c r="X76" s="175"/>
    </row>
    <row r="77" spans="1:24" x14ac:dyDescent="0.3">
      <c r="B77" s="22"/>
      <c r="C77" s="312"/>
      <c r="Q77" s="48"/>
    </row>
    <row r="78" spans="1:24" ht="18" x14ac:dyDescent="0.35">
      <c r="A78" s="258" t="s">
        <v>97</v>
      </c>
      <c r="B78" s="183"/>
      <c r="C78" s="313"/>
      <c r="D78" s="181"/>
      <c r="E78" s="181"/>
      <c r="F78" s="181"/>
      <c r="G78" s="181"/>
      <c r="H78" s="181"/>
      <c r="I78" s="181"/>
      <c r="J78" s="181"/>
      <c r="K78" s="181"/>
      <c r="L78" s="181"/>
      <c r="M78" s="181"/>
      <c r="N78" s="181"/>
      <c r="O78" s="181"/>
      <c r="P78" s="181"/>
      <c r="Q78" s="181"/>
      <c r="R78" s="181"/>
      <c r="S78" s="181"/>
      <c r="T78" s="181"/>
      <c r="U78" s="181"/>
      <c r="V78" s="181"/>
      <c r="W78" s="181"/>
      <c r="X78" s="182"/>
    </row>
    <row r="79" spans="1:24" s="141" customFormat="1" x14ac:dyDescent="0.3">
      <c r="A79" s="262"/>
      <c r="B79" s="190"/>
      <c r="C79" s="315"/>
      <c r="D79" s="259"/>
      <c r="E79" s="259"/>
      <c r="F79" s="259"/>
      <c r="G79" s="259"/>
      <c r="H79" s="259"/>
      <c r="I79" s="259"/>
      <c r="J79" s="259"/>
      <c r="K79" s="259"/>
      <c r="L79" s="259"/>
      <c r="M79" s="259"/>
      <c r="N79" s="259"/>
      <c r="O79" s="259"/>
      <c r="P79" s="259"/>
      <c r="Q79" s="259"/>
      <c r="R79" s="259"/>
      <c r="S79" s="259"/>
      <c r="T79" s="259"/>
      <c r="U79" s="259"/>
      <c r="V79" s="259"/>
      <c r="W79" s="259"/>
      <c r="X79" s="260"/>
    </row>
    <row r="80" spans="1:24" x14ac:dyDescent="0.3">
      <c r="A80" s="178"/>
      <c r="B80" s="187" t="s">
        <v>186</v>
      </c>
      <c r="C80" s="300"/>
      <c r="D80" s="176"/>
      <c r="E80" s="222"/>
      <c r="F80" s="188" t="s">
        <v>185</v>
      </c>
      <c r="G80" s="222"/>
      <c r="H80" s="176"/>
      <c r="I80" s="176"/>
      <c r="J80" s="176"/>
      <c r="K80" s="176"/>
      <c r="L80" s="176"/>
      <c r="M80" s="176"/>
      <c r="N80" s="176"/>
      <c r="O80" s="176"/>
      <c r="P80" s="176"/>
      <c r="Q80" s="176"/>
      <c r="R80" s="176"/>
      <c r="S80" s="176"/>
      <c r="T80" s="176"/>
      <c r="U80" s="176"/>
      <c r="V80" s="176"/>
      <c r="W80" s="176"/>
      <c r="X80" s="177"/>
    </row>
    <row r="81" spans="1:24" x14ac:dyDescent="0.3">
      <c r="A81" s="178"/>
      <c r="B81" s="176" t="s">
        <v>189</v>
      </c>
      <c r="C81" s="318"/>
      <c r="D81" s="176"/>
      <c r="E81" s="176"/>
      <c r="F81" s="176"/>
      <c r="G81" s="176"/>
      <c r="H81" s="176"/>
      <c r="I81" s="176"/>
      <c r="J81" s="176"/>
      <c r="K81" s="176"/>
      <c r="L81" s="176"/>
      <c r="M81" s="176"/>
      <c r="N81" s="176"/>
      <c r="O81" s="176"/>
      <c r="P81" s="176"/>
      <c r="Q81" s="176"/>
      <c r="R81" s="176"/>
      <c r="S81" s="176"/>
      <c r="T81" s="176"/>
      <c r="U81" s="176"/>
      <c r="V81" s="176"/>
      <c r="W81" s="176"/>
      <c r="X81" s="177"/>
    </row>
    <row r="82" spans="1:24" x14ac:dyDescent="0.3">
      <c r="A82" s="178"/>
      <c r="B82" s="176" t="s">
        <v>188</v>
      </c>
      <c r="C82" s="318"/>
      <c r="D82" s="176"/>
      <c r="E82" s="176"/>
      <c r="F82" s="176"/>
      <c r="G82" s="176"/>
      <c r="H82" s="176"/>
      <c r="I82" s="176"/>
      <c r="J82" s="176"/>
      <c r="K82" s="176"/>
      <c r="L82" s="176"/>
      <c r="M82" s="176"/>
      <c r="N82" s="176"/>
      <c r="O82" s="176"/>
      <c r="P82" s="176"/>
      <c r="Q82" s="176"/>
      <c r="R82" s="176"/>
      <c r="S82" s="176"/>
      <c r="T82" s="176"/>
      <c r="U82" s="176"/>
      <c r="V82" s="176"/>
      <c r="W82" s="176"/>
      <c r="X82" s="177"/>
    </row>
    <row r="83" spans="1:24" x14ac:dyDescent="0.3">
      <c r="A83" s="178"/>
      <c r="B83" s="176" t="s">
        <v>190</v>
      </c>
      <c r="C83" s="300"/>
      <c r="D83" s="176"/>
      <c r="E83" s="176"/>
      <c r="F83" s="176"/>
      <c r="G83" s="176"/>
      <c r="H83" s="176"/>
      <c r="I83" s="257" t="s">
        <v>191</v>
      </c>
      <c r="J83" s="176"/>
      <c r="K83" s="176"/>
      <c r="L83" s="176"/>
      <c r="M83" s="176"/>
      <c r="N83" s="176"/>
      <c r="O83" s="176"/>
      <c r="P83" s="176"/>
      <c r="Q83" s="176"/>
      <c r="R83" s="176"/>
      <c r="S83" s="176"/>
      <c r="T83" s="176"/>
      <c r="U83" s="176"/>
      <c r="V83" s="176"/>
      <c r="W83" s="176"/>
      <c r="X83" s="177"/>
    </row>
    <row r="84" spans="1:24" x14ac:dyDescent="0.3">
      <c r="A84" s="178"/>
      <c r="B84" s="222" t="s">
        <v>187</v>
      </c>
      <c r="C84" s="318"/>
      <c r="D84" s="176"/>
      <c r="E84" s="176"/>
      <c r="F84" s="176"/>
      <c r="G84" s="176"/>
      <c r="H84" s="176"/>
      <c r="I84" s="176"/>
      <c r="J84" s="176"/>
      <c r="K84" s="176"/>
      <c r="L84" s="176"/>
      <c r="M84" s="176"/>
      <c r="N84" s="176"/>
      <c r="O84" s="176"/>
      <c r="P84" s="176"/>
      <c r="Q84" s="176"/>
      <c r="R84" s="176"/>
      <c r="S84" s="176"/>
      <c r="T84" s="176"/>
      <c r="U84" s="176"/>
      <c r="V84" s="176"/>
      <c r="W84" s="176"/>
      <c r="X84" s="177"/>
    </row>
    <row r="85" spans="1:24" x14ac:dyDescent="0.3">
      <c r="A85" s="178"/>
      <c r="B85" s="222" t="s">
        <v>148</v>
      </c>
      <c r="C85" s="318"/>
      <c r="D85" s="176"/>
      <c r="E85" s="176"/>
      <c r="F85" s="176"/>
      <c r="G85" s="176"/>
      <c r="H85" s="176"/>
      <c r="I85" s="257" t="s">
        <v>192</v>
      </c>
      <c r="J85" s="176"/>
      <c r="K85" s="176"/>
      <c r="L85" s="176"/>
      <c r="M85" s="176"/>
      <c r="N85" s="176"/>
      <c r="O85" s="176"/>
      <c r="P85" s="176"/>
      <c r="Q85" s="176"/>
      <c r="R85" s="176"/>
      <c r="S85" s="176"/>
      <c r="T85" s="176"/>
      <c r="U85" s="176"/>
      <c r="V85" s="176"/>
      <c r="W85" s="176"/>
      <c r="X85" s="177"/>
    </row>
    <row r="86" spans="1:24" x14ac:dyDescent="0.3">
      <c r="A86" s="178"/>
      <c r="B86" s="222" t="s">
        <v>216</v>
      </c>
      <c r="C86" s="318"/>
      <c r="D86" s="176"/>
      <c r="E86" s="176"/>
      <c r="F86" s="176"/>
      <c r="G86" s="176"/>
      <c r="H86" s="176"/>
      <c r="I86" s="176"/>
      <c r="J86" s="176"/>
      <c r="K86" s="176"/>
      <c r="L86" s="176"/>
      <c r="M86" s="176"/>
      <c r="N86" s="176"/>
      <c r="O86" s="176"/>
      <c r="P86" s="176"/>
      <c r="Q86" s="176"/>
      <c r="R86" s="176"/>
      <c r="S86" s="176"/>
      <c r="T86" s="176"/>
      <c r="U86" s="176"/>
      <c r="V86" s="176"/>
      <c r="W86" s="176"/>
      <c r="X86" s="177"/>
    </row>
    <row r="87" spans="1:24" x14ac:dyDescent="0.3">
      <c r="A87" s="178"/>
      <c r="B87" s="176" t="s">
        <v>193</v>
      </c>
      <c r="C87" s="318"/>
      <c r="D87" s="176"/>
      <c r="E87" s="176"/>
      <c r="F87" s="176"/>
      <c r="G87" s="176"/>
      <c r="H87" s="176"/>
      <c r="I87" s="176"/>
      <c r="J87" s="176"/>
      <c r="K87" s="176"/>
      <c r="L87" s="176"/>
      <c r="M87" s="176"/>
      <c r="N87" s="176"/>
      <c r="O87" s="176"/>
      <c r="P87" s="176"/>
      <c r="Q87" s="176"/>
      <c r="R87" s="176"/>
      <c r="S87" s="176"/>
      <c r="T87" s="176"/>
      <c r="U87" s="176"/>
      <c r="V87" s="176"/>
      <c r="W87" s="176"/>
      <c r="X87" s="177"/>
    </row>
    <row r="88" spans="1:24" x14ac:dyDescent="0.3">
      <c r="A88" s="178"/>
      <c r="B88" s="176"/>
      <c r="C88" s="318"/>
      <c r="D88" s="176"/>
      <c r="E88" s="176"/>
      <c r="F88" s="176"/>
      <c r="G88" s="176"/>
      <c r="H88" s="176"/>
      <c r="I88" s="176"/>
      <c r="J88" s="176"/>
      <c r="K88" s="176"/>
      <c r="L88" s="176"/>
      <c r="M88" s="176"/>
      <c r="N88" s="176"/>
      <c r="O88" s="176"/>
      <c r="P88" s="176"/>
      <c r="Q88" s="176"/>
      <c r="R88" s="176"/>
      <c r="S88" s="176"/>
      <c r="T88" s="176"/>
      <c r="U88" s="176"/>
      <c r="V88" s="176"/>
      <c r="W88" s="176"/>
      <c r="X88" s="177"/>
    </row>
    <row r="89" spans="1:24" x14ac:dyDescent="0.3">
      <c r="A89" s="178"/>
      <c r="B89" s="179" t="str">
        <f>IF(ISBLANK(C$6),"","Year updated:")</f>
        <v/>
      </c>
      <c r="C89" s="397"/>
      <c r="D89" s="222"/>
      <c r="E89" s="176"/>
      <c r="F89" s="176"/>
      <c r="G89" s="176"/>
      <c r="H89" s="176"/>
      <c r="I89" s="176"/>
      <c r="J89" s="187" t="str">
        <f>IF(ISBLANK(C$89),"","The following values are calculated based on inflation using CPI-W.")</f>
        <v/>
      </c>
      <c r="K89" s="188"/>
      <c r="L89" s="176"/>
      <c r="M89" s="176"/>
      <c r="N89" s="176"/>
      <c r="O89" s="176"/>
      <c r="P89" s="176"/>
      <c r="Q89" s="176"/>
      <c r="R89" s="176"/>
      <c r="S89" s="176"/>
      <c r="T89" s="176"/>
      <c r="U89" s="176"/>
      <c r="V89" s="176"/>
      <c r="W89" s="176"/>
      <c r="X89" s="177"/>
    </row>
    <row r="90" spans="1:24" x14ac:dyDescent="0.3">
      <c r="A90" s="178"/>
      <c r="B90" s="179" t="str">
        <f>IF(ISBLANK(C6),"",_xlfn.CONCAT(C6,"'s estimated monthly SS income:"))</f>
        <v/>
      </c>
      <c r="C90" s="319"/>
      <c r="D90" s="222"/>
      <c r="E90" s="176" t="str">
        <f>IF(ISBLANK(C6),"","&lt;-- Enter full retirement benefit if any")</f>
        <v/>
      </c>
      <c r="F90" s="176"/>
      <c r="G90" s="176"/>
      <c r="H90" s="176"/>
      <c r="I90" s="176"/>
      <c r="J90" s="189" t="str">
        <f>IF(ISBLANK(C90),"",_xlfn.CONCAT(C6,"'s estimated monthly SS income:"))</f>
        <v/>
      </c>
      <c r="K90" s="254" t="str">
        <f>IF(ISBLANK(C90),"",-FV(Lookups!C20,(Lookups!D73-C7)-(C89-C4),0,C90))</f>
        <v/>
      </c>
      <c r="L90" s="176" t="str">
        <f>IF(ISBLANK(C90),"",_xlfn.CONCAT("in ", Lookups!D$73-C7+C4, " dollars when ", C6, " is ", Lookups!D$73," (full retirement age)."))</f>
        <v/>
      </c>
      <c r="M90" s="176"/>
      <c r="N90" s="176"/>
      <c r="O90" s="176"/>
      <c r="P90" s="176"/>
      <c r="Q90" s="176"/>
      <c r="R90" s="176"/>
      <c r="S90" s="176"/>
      <c r="T90" s="176"/>
      <c r="U90" s="176"/>
      <c r="V90" s="176"/>
      <c r="W90" s="176"/>
      <c r="X90" s="177"/>
    </row>
    <row r="91" spans="1:24" x14ac:dyDescent="0.3">
      <c r="A91" s="178"/>
      <c r="B91" s="179" t="str">
        <f>IF(OR(ISBLANK(C6),ISBLANK(C9)),"",_xlfn.CONCAT(C9,"'s estimated monthly SS income:"))</f>
        <v/>
      </c>
      <c r="C91" s="319"/>
      <c r="D91" s="222"/>
      <c r="E91" s="176" t="str">
        <f>IF(OR(ISBLANK(C6),ISBLANK(C9)),""," &lt;-- Enter full retirement benefit if any")</f>
        <v/>
      </c>
      <c r="F91" s="176"/>
      <c r="G91" s="176"/>
      <c r="H91" s="176"/>
      <c r="I91" s="176"/>
      <c r="J91" s="189" t="str">
        <f>IF(OR(ISBLANK(C90),ISBLANK(C9)),"",_xlfn.CONCAT(C9,"'s estimated monthly SS income:"))</f>
        <v/>
      </c>
      <c r="K91" s="254" t="str" cm="1">
        <f t="array" ref="K91">_xlfn.IFS(ISBLANK(C90),"",ISBLANK(C91),-FV(Lookups!C20,(Lookups!D73-C10)-(C89-C4),0,C90)*0.5,C91&gt;0,-FV(Lookups!C20,(Lookups!D73-C10)-(C89-C4),0,C91))</f>
        <v/>
      </c>
      <c r="L91" s="176" t="str">
        <f>IF(ISBLANK(C90),"",_xlfn.CONCAT("in ", Lookups!D$73-C10+C4, " dollars when ", C9, " is ", Lookups!D$73, " (full retirement age)."))</f>
        <v/>
      </c>
      <c r="M91" s="176"/>
      <c r="N91" s="176"/>
      <c r="O91" s="176"/>
      <c r="P91" s="176"/>
      <c r="Q91" s="176"/>
      <c r="R91" s="176"/>
      <c r="S91" s="176"/>
      <c r="T91" s="176"/>
      <c r="U91" s="176"/>
      <c r="V91" s="176"/>
      <c r="W91" s="176"/>
      <c r="X91" s="177"/>
    </row>
    <row r="92" spans="1:24" x14ac:dyDescent="0.3">
      <c r="A92" s="172"/>
      <c r="B92" s="173"/>
      <c r="C92" s="311"/>
      <c r="D92" s="174"/>
      <c r="E92" s="174"/>
      <c r="F92" s="174"/>
      <c r="G92" s="174"/>
      <c r="H92" s="174"/>
      <c r="I92" s="174"/>
      <c r="J92" s="174"/>
      <c r="K92" s="174"/>
      <c r="L92" s="174"/>
      <c r="M92" s="174"/>
      <c r="N92" s="174"/>
      <c r="O92" s="174"/>
      <c r="P92" s="174"/>
      <c r="Q92" s="174"/>
      <c r="R92" s="174"/>
      <c r="S92" s="174"/>
      <c r="T92" s="174"/>
      <c r="U92" s="174"/>
      <c r="V92" s="174"/>
      <c r="W92" s="174"/>
      <c r="X92" s="175"/>
    </row>
    <row r="93" spans="1:24" x14ac:dyDescent="0.3">
      <c r="B93" s="22"/>
      <c r="C93" s="312"/>
      <c r="Q93" s="48"/>
    </row>
    <row r="94" spans="1:24" ht="18" x14ac:dyDescent="0.35">
      <c r="A94" s="258" t="s">
        <v>196</v>
      </c>
      <c r="B94" s="181"/>
      <c r="C94" s="313"/>
      <c r="D94" s="181"/>
      <c r="E94" s="181"/>
      <c r="F94" s="181"/>
      <c r="G94" s="181"/>
      <c r="H94" s="181"/>
      <c r="I94" s="181"/>
      <c r="J94" s="181"/>
      <c r="K94" s="181"/>
      <c r="L94" s="181"/>
      <c r="M94" s="181"/>
      <c r="N94" s="181"/>
      <c r="O94" s="181"/>
      <c r="P94" s="181"/>
      <c r="Q94" s="181"/>
      <c r="R94" s="181"/>
      <c r="S94" s="181"/>
      <c r="T94" s="181"/>
      <c r="U94" s="181"/>
      <c r="V94" s="181"/>
      <c r="W94" s="181"/>
      <c r="X94" s="182"/>
    </row>
    <row r="95" spans="1:24" s="141" customFormat="1" x14ac:dyDescent="0.3">
      <c r="A95" s="262"/>
      <c r="B95" s="259"/>
      <c r="C95" s="315"/>
      <c r="D95" s="259"/>
      <c r="E95" s="259"/>
      <c r="F95" s="259"/>
      <c r="G95" s="259"/>
      <c r="H95" s="259"/>
      <c r="I95" s="259"/>
      <c r="J95" s="259"/>
      <c r="K95" s="259"/>
      <c r="L95" s="259"/>
      <c r="M95" s="259"/>
      <c r="N95" s="259"/>
      <c r="O95" s="259"/>
      <c r="P95" s="259"/>
      <c r="Q95" s="259"/>
      <c r="R95" s="259"/>
      <c r="S95" s="259"/>
      <c r="T95" s="259"/>
      <c r="U95" s="259"/>
      <c r="V95" s="259"/>
      <c r="W95" s="259"/>
      <c r="X95" s="260"/>
    </row>
    <row r="96" spans="1:24" x14ac:dyDescent="0.3">
      <c r="A96" s="178"/>
      <c r="B96" s="187" t="s">
        <v>139</v>
      </c>
      <c r="C96" s="310"/>
      <c r="D96" s="176"/>
      <c r="E96" s="176"/>
      <c r="F96" s="176"/>
      <c r="G96" s="176"/>
      <c r="H96" s="176"/>
      <c r="I96" s="176"/>
      <c r="J96" s="176"/>
      <c r="K96" s="176"/>
      <c r="L96" s="176"/>
      <c r="M96" s="176"/>
      <c r="N96" s="176"/>
      <c r="O96" s="176"/>
      <c r="P96" s="176"/>
      <c r="Q96" s="176"/>
      <c r="R96" s="176"/>
      <c r="S96" s="176"/>
      <c r="T96" s="176"/>
      <c r="U96" s="176"/>
      <c r="V96" s="176"/>
      <c r="W96" s="176"/>
      <c r="X96" s="177"/>
    </row>
    <row r="97" spans="1:24" x14ac:dyDescent="0.3">
      <c r="A97" s="178"/>
      <c r="B97" s="222" t="s">
        <v>151</v>
      </c>
      <c r="C97" s="310"/>
      <c r="D97" s="176"/>
      <c r="E97" s="176"/>
      <c r="F97" s="176"/>
      <c r="G97" s="176"/>
      <c r="H97" s="176"/>
      <c r="I97" s="176"/>
      <c r="J97" s="176"/>
      <c r="K97" s="176"/>
      <c r="L97" s="176"/>
      <c r="M97" s="176"/>
      <c r="N97" s="176"/>
      <c r="O97" s="176"/>
      <c r="P97" s="222"/>
      <c r="Q97" s="176"/>
      <c r="R97" s="176"/>
      <c r="S97" s="176"/>
      <c r="T97" s="176"/>
      <c r="U97" s="176"/>
      <c r="V97" s="176"/>
      <c r="W97" s="176"/>
      <c r="X97" s="177"/>
    </row>
    <row r="98" spans="1:24" x14ac:dyDescent="0.3">
      <c r="A98" s="178"/>
      <c r="B98" s="222" t="s">
        <v>152</v>
      </c>
      <c r="C98" s="310"/>
      <c r="D98" s="176"/>
      <c r="E98" s="176"/>
      <c r="F98" s="176"/>
      <c r="G98" s="176"/>
      <c r="H98" s="176"/>
      <c r="I98" s="176"/>
      <c r="J98" s="176"/>
      <c r="K98" s="226" t="s">
        <v>150</v>
      </c>
      <c r="L98" s="176"/>
      <c r="M98" s="176"/>
      <c r="N98" s="176"/>
      <c r="O98" s="176"/>
      <c r="P98" s="222"/>
      <c r="Q98" s="176"/>
      <c r="R98" s="176"/>
      <c r="S98" s="176"/>
      <c r="T98" s="176"/>
      <c r="U98" s="176"/>
      <c r="V98" s="176"/>
      <c r="W98" s="176"/>
      <c r="X98" s="177"/>
    </row>
    <row r="99" spans="1:24" x14ac:dyDescent="0.3">
      <c r="A99" s="178"/>
      <c r="B99" s="187" t="s">
        <v>131</v>
      </c>
      <c r="C99" s="310"/>
      <c r="D99" s="176"/>
      <c r="E99" s="176"/>
      <c r="F99" s="176"/>
      <c r="G99" s="176"/>
      <c r="H99" s="176"/>
      <c r="I99" s="176"/>
      <c r="J99" s="176"/>
      <c r="K99" s="176"/>
      <c r="L99" s="176"/>
      <c r="M99" s="176"/>
      <c r="N99" s="176"/>
      <c r="O99" s="176"/>
      <c r="P99" s="222"/>
      <c r="Q99" s="176"/>
      <c r="R99" s="176"/>
      <c r="S99" s="176"/>
      <c r="T99" s="176"/>
      <c r="U99" s="176"/>
      <c r="V99" s="176"/>
      <c r="W99" s="176"/>
      <c r="X99" s="177"/>
    </row>
    <row r="100" spans="1:24" x14ac:dyDescent="0.3">
      <c r="A100" s="178"/>
      <c r="B100" s="187" t="s">
        <v>132</v>
      </c>
      <c r="C100" s="310"/>
      <c r="D100" s="176"/>
      <c r="E100" s="176"/>
      <c r="F100" s="176"/>
      <c r="G100" s="176"/>
      <c r="H100" s="176"/>
      <c r="I100" s="176"/>
      <c r="J100" s="176"/>
      <c r="K100" s="176"/>
      <c r="L100" s="176"/>
      <c r="M100" s="176"/>
      <c r="N100" s="176"/>
      <c r="O100" s="176"/>
      <c r="P100" s="222"/>
      <c r="Q100" s="176"/>
      <c r="R100" s="176"/>
      <c r="S100" s="176"/>
      <c r="T100" s="176"/>
      <c r="U100" s="176"/>
      <c r="V100" s="176"/>
      <c r="W100" s="176"/>
      <c r="X100" s="177"/>
    </row>
    <row r="101" spans="1:24" x14ac:dyDescent="0.3">
      <c r="A101" s="178"/>
      <c r="B101" s="179"/>
      <c r="C101" s="310"/>
      <c r="D101" s="176"/>
      <c r="E101" s="176"/>
      <c r="F101" s="176"/>
      <c r="G101" s="176"/>
      <c r="H101" s="176"/>
      <c r="I101" s="176"/>
      <c r="J101" s="176"/>
      <c r="K101" s="176"/>
      <c r="L101" s="176"/>
      <c r="M101" s="176"/>
      <c r="N101" s="176"/>
      <c r="O101" s="176"/>
      <c r="P101" s="176"/>
      <c r="Q101" s="176"/>
      <c r="R101" s="176"/>
      <c r="S101" s="176"/>
      <c r="T101" s="176"/>
      <c r="U101" s="176"/>
      <c r="V101" s="176"/>
      <c r="W101" s="176"/>
      <c r="X101" s="177"/>
    </row>
    <row r="102" spans="1:24" x14ac:dyDescent="0.3">
      <c r="A102" s="178"/>
      <c r="B102" s="179" t="str">
        <f>IF(ISBLANK(C$6),"","Year updated:")</f>
        <v/>
      </c>
      <c r="C102" s="397"/>
      <c r="D102" s="222"/>
      <c r="E102" s="176" t="s">
        <v>133</v>
      </c>
      <c r="F102" s="176"/>
      <c r="G102" s="176"/>
      <c r="H102" s="176"/>
      <c r="I102" s="176"/>
      <c r="J102" s="176"/>
      <c r="K102" s="176"/>
      <c r="L102" s="176"/>
      <c r="M102" s="176"/>
      <c r="N102" s="176"/>
      <c r="O102" s="176"/>
      <c r="P102" s="176"/>
      <c r="Q102" s="176"/>
      <c r="R102" s="176"/>
      <c r="S102" s="176"/>
      <c r="T102" s="176"/>
      <c r="U102" s="176"/>
      <c r="V102" s="176"/>
      <c r="W102" s="176"/>
      <c r="X102" s="177"/>
    </row>
    <row r="103" spans="1:24" x14ac:dyDescent="0.3">
      <c r="A103" s="178"/>
      <c r="B103" s="179" t="str">
        <f>IF(ISBLANK(C$6),"","Inflation adjustment:")</f>
        <v/>
      </c>
      <c r="C103" s="398"/>
      <c r="D103" s="222"/>
      <c r="E103" s="176" t="str">
        <f>_xlfn.CONCAT("Enter the CPI-U of ", TEXT(Lookups!C12,"0.0%"), " (from C12 on the Lookups worksheet) unless you think you should use a different percentage.")</f>
        <v>Enter the CPI-U of 2.3% (from C12 on the Lookups worksheet) unless you think you should use a different percentage.</v>
      </c>
      <c r="F103" s="176"/>
      <c r="G103" s="176"/>
      <c r="H103" s="176"/>
      <c r="I103" s="176"/>
      <c r="J103" s="176"/>
      <c r="K103" s="176"/>
      <c r="L103" s="176"/>
      <c r="M103" s="176"/>
      <c r="N103" s="176"/>
      <c r="O103" s="176"/>
      <c r="P103" s="176"/>
      <c r="Q103" s="176"/>
      <c r="R103" s="176"/>
      <c r="S103" s="176"/>
      <c r="T103" s="176"/>
      <c r="U103" s="176"/>
      <c r="V103" s="176"/>
      <c r="W103" s="176"/>
      <c r="X103" s="177"/>
    </row>
    <row r="104" spans="1:24" x14ac:dyDescent="0.3">
      <c r="A104" s="178"/>
      <c r="B104" s="186"/>
      <c r="C104" s="320"/>
      <c r="D104" s="222"/>
      <c r="E104" s="180" t="s">
        <v>136</v>
      </c>
      <c r="F104" s="176"/>
      <c r="G104" s="176"/>
      <c r="H104" s="176"/>
      <c r="I104" s="176"/>
      <c r="J104" s="176"/>
      <c r="K104" s="176"/>
      <c r="L104" s="176"/>
      <c r="M104" s="176"/>
      <c r="N104" s="176"/>
      <c r="O104" s="176"/>
      <c r="P104" s="176"/>
      <c r="Q104" s="176"/>
      <c r="R104" s="176"/>
      <c r="S104" s="176"/>
      <c r="T104" s="176"/>
      <c r="U104" s="176"/>
      <c r="V104" s="176"/>
      <c r="W104" s="176"/>
      <c r="X104" s="177"/>
    </row>
    <row r="105" spans="1:24" x14ac:dyDescent="0.3">
      <c r="A105" s="178"/>
      <c r="B105" s="186"/>
      <c r="C105" s="320"/>
      <c r="D105" s="180"/>
      <c r="E105" s="176"/>
      <c r="F105" s="176"/>
      <c r="G105" s="176"/>
      <c r="H105" s="176"/>
      <c r="I105" s="176"/>
      <c r="J105" s="187"/>
      <c r="K105" s="176"/>
      <c r="L105" s="176"/>
      <c r="M105" s="176"/>
      <c r="N105" s="176"/>
      <c r="O105" s="176"/>
      <c r="P105" s="176"/>
      <c r="Q105" s="176"/>
      <c r="R105" s="176"/>
      <c r="S105" s="176"/>
      <c r="T105" s="176"/>
      <c r="U105" s="176"/>
      <c r="V105" s="176"/>
      <c r="W105" s="176"/>
      <c r="X105" s="177"/>
    </row>
    <row r="106" spans="1:24" x14ac:dyDescent="0.3">
      <c r="A106" s="178"/>
      <c r="B106" s="179" t="str">
        <f>IF(ISBLANK(C$6),"","Income 1 name:")</f>
        <v/>
      </c>
      <c r="C106" s="396"/>
      <c r="D106" s="176"/>
      <c r="E106" s="176"/>
      <c r="F106" s="176"/>
      <c r="G106" s="176"/>
      <c r="H106" s="176"/>
      <c r="I106" s="176"/>
      <c r="J106" s="190" t="str">
        <f>IF(ISBLANK(C$107),"","Estimated monthly amount:")</f>
        <v/>
      </c>
      <c r="K106" s="254" t="str" cm="1">
        <f t="array" ref="K106">_xlfn.IFS(ISBLANK(C$107),"",(Projections!DA$4-C$7)&lt;(Projections!DB$4-C$10),-FV(C$103,(Projections!DA$4-C$7)-(C$102-C$4),0,C107),(Projections!DA$4-C$7)&gt;(Projections!DB$4-C$10),-FV(C$103,(Projections!DB$4-C$10)-(C$102-C$4),0,C107),(Projections!DA$4-C$7)=(Projections!DB$4-C$10),-FV(C$103,(Projections!DA$4-C$7)-(C$102-C$4),0,C107))</f>
        <v/>
      </c>
      <c r="L106" s="176" t="str" cm="1">
        <f t="array" ref="L106">_xlfn.IFS(ISBLANK(C$107),"",(Projections!DA$4-C$7)&lt;(Projections!DB$4-C$10),_xlfn.CONCAT("in ", Projections!DA$4-C$7+C$4, " dollars when ", C$6, " is ", Projections!DA$4,"."),(Projections!DA$4-C$7)&gt;(Projections!DB$4-C$10),_xlfn.CONCAT("in ", Projections!DB$4-C$10+C$4, " dollars when ", C$9, " is ", Projections!DB$4,"."),(Projections!DA$4-C$7)=(Projections!DB$4-C$10),_xlfn.CONCAT("in ", Projections!DA$4-C$7+C$4, " dollars when both are ", Projections!DA$4,"."))</f>
        <v/>
      </c>
      <c r="M106" s="176"/>
      <c r="N106" s="176"/>
      <c r="O106" s="176"/>
      <c r="P106" s="176"/>
      <c r="Q106" s="176"/>
      <c r="R106" s="176"/>
      <c r="S106" s="176"/>
      <c r="T106" s="176"/>
      <c r="U106" s="176"/>
      <c r="V106" s="176"/>
      <c r="W106" s="176"/>
      <c r="X106" s="177"/>
    </row>
    <row r="107" spans="1:24" x14ac:dyDescent="0.3">
      <c r="A107" s="178"/>
      <c r="B107" s="179" t="str">
        <f>IF(ISBLANK(C$6),"","Monthly amount:")</f>
        <v/>
      </c>
      <c r="C107" s="310"/>
      <c r="D107" s="176" t="str">
        <f>IF(ISBLANK(C$102),"",_xlfn.CONCAT("in ",C$102," dollars."))</f>
        <v/>
      </c>
      <c r="E107" s="176"/>
      <c r="F107" s="176"/>
      <c r="G107" s="176"/>
      <c r="H107" s="176"/>
      <c r="I107" s="176"/>
      <c r="J107" s="190" t="str">
        <f>IF(ISBLANK(C$107),"","Estimated annual amount:")</f>
        <v/>
      </c>
      <c r="K107" s="254" t="str">
        <f>IF(ISBLANK(C107),"",K106*12)</f>
        <v/>
      </c>
      <c r="L107" s="176" t="str" cm="1">
        <f t="array" ref="L107">_xlfn.IFS(ISBLANK(C$107),"",(Projections!DA$4-C$7)&lt;(Projections!DB$4-C$10),_xlfn.CONCAT("in ", Projections!DA$4-C$7+C$4, " dollars when ", C$6, " is ", Projections!DA$4,"."),(Projections!DA$4-C$7)&gt;(Projections!DB$4-C$10),_xlfn.CONCAT("in ", Projections!DB$4-C$10+C$4, " dollars when ", C$9, " is ", Projections!DB$4,"."),(Projections!DA$4-C$7)=(Projections!DB$4-C$10),_xlfn.CONCAT("in ", Projections!DA$4-C$7+C$4, " dollars when both are ", Projections!DA$4,"."))</f>
        <v/>
      </c>
      <c r="M107" s="176"/>
      <c r="N107" s="176"/>
      <c r="O107" s="176"/>
      <c r="P107" s="176"/>
      <c r="Q107" s="176"/>
      <c r="R107" s="176"/>
      <c r="S107" s="176"/>
      <c r="T107" s="176"/>
      <c r="U107" s="176"/>
      <c r="V107" s="176"/>
      <c r="W107" s="176"/>
      <c r="X107" s="177"/>
    </row>
    <row r="108" spans="1:24" x14ac:dyDescent="0.3">
      <c r="A108" s="178"/>
      <c r="B108" s="179"/>
      <c r="C108" s="310"/>
      <c r="D108" s="176"/>
      <c r="E108" s="176"/>
      <c r="F108" s="176"/>
      <c r="G108" s="176"/>
      <c r="H108" s="176"/>
      <c r="I108" s="176"/>
      <c r="J108" s="176"/>
      <c r="K108" s="176"/>
      <c r="L108" s="176"/>
      <c r="M108" s="176"/>
      <c r="N108" s="176"/>
      <c r="O108" s="176"/>
      <c r="P108" s="176"/>
      <c r="Q108" s="176"/>
      <c r="R108" s="176"/>
      <c r="S108" s="176"/>
      <c r="T108" s="176"/>
      <c r="U108" s="176"/>
      <c r="V108" s="176"/>
      <c r="W108" s="176"/>
      <c r="X108" s="177"/>
    </row>
    <row r="109" spans="1:24" x14ac:dyDescent="0.3">
      <c r="A109" s="178"/>
      <c r="B109" s="179" t="str">
        <f>IF(ISBLANK(C$6),"","Income 2 name:")</f>
        <v/>
      </c>
      <c r="C109" s="396"/>
      <c r="D109" s="176"/>
      <c r="E109" s="176"/>
      <c r="F109" s="176"/>
      <c r="G109" s="176"/>
      <c r="H109" s="176"/>
      <c r="I109" s="176"/>
      <c r="J109" s="190" t="str">
        <f>IF(ISBLANK(C$109),"","Estimated monthly amount:")</f>
        <v/>
      </c>
      <c r="K109" s="254" t="str" cm="1">
        <f t="array" ref="K109">_xlfn.IFS(ISBLANK(C$110),"",(Projections!DA$4-C$7)&lt;(Projections!DB$4-C$10),-FV(C$103,(Projections!DA$4-C$7)-(C$102-C$4),0,C110),(Projections!DA$4-C$7)&gt;(Projections!DB$4-C$10),-FV(C$103,(Projections!DB$4-C$10)-(C$102-C$4),0,C110),(Projections!DA$4-C$7)=(Projections!DB$4-C$10),-FV(C$103,(Projections!DA$4-C$7)-(C$102-C$4),0,C110))</f>
        <v/>
      </c>
      <c r="L109" s="176" t="str" cm="1">
        <f t="array" ref="L109">_xlfn.IFS(ISBLANK(C$110),"",(Projections!DA$4-C$7)&lt;(Projections!DB$4-C$10),_xlfn.CONCAT("in ", Projections!DA$4-C$7+C$4, " dollars when ", C$6, " is ", Projections!DA$4,"."),(Projections!DA$4-C$7)&gt;(Projections!DB$4-C$10),_xlfn.CONCAT("in ", Projections!DB$4-C$10+C$4, " dollars when ", C$9, " is ", Projections!DB$4,"."),(Projections!DA$4-C$7)=(Projections!DB$4-C$10),_xlfn.CONCAT("in ", Projections!DA$4-C$7+C$4, " dollars when both are ", Projections!DA$4,"."))</f>
        <v/>
      </c>
      <c r="M109" s="176"/>
      <c r="N109" s="176"/>
      <c r="O109" s="176"/>
      <c r="P109" s="176"/>
      <c r="Q109" s="176"/>
      <c r="R109" s="176"/>
      <c r="S109" s="176"/>
      <c r="T109" s="176"/>
      <c r="U109" s="176"/>
      <c r="V109" s="176"/>
      <c r="W109" s="176"/>
      <c r="X109" s="177"/>
    </row>
    <row r="110" spans="1:24" x14ac:dyDescent="0.3">
      <c r="A110" s="178"/>
      <c r="B110" s="179" t="str">
        <f>IF(ISBLANK(C$6),"","Monthly amount:")</f>
        <v/>
      </c>
      <c r="C110" s="310"/>
      <c r="D110" s="176" t="str">
        <f>IF(ISBLANK(C$102),"",_xlfn.CONCAT("in ",C$102," dollars."))</f>
        <v/>
      </c>
      <c r="E110" s="176"/>
      <c r="F110" s="176"/>
      <c r="G110" s="176"/>
      <c r="H110" s="176"/>
      <c r="I110" s="176"/>
      <c r="J110" s="190" t="str">
        <f>IF(ISBLANK(C$110),"","Estimated annual amount:")</f>
        <v/>
      </c>
      <c r="K110" s="254" t="str">
        <f>IF(ISBLANK(C110),"",K109*12)</f>
        <v/>
      </c>
      <c r="L110" s="176" t="str" cm="1">
        <f t="array" ref="L110">_xlfn.IFS(ISBLANK(C$110),"",(Projections!DA$4-C$7)&lt;(Projections!DB$4-C$10),_xlfn.CONCAT("in ", Projections!DA$4-C$7+C$4, " dollars when ", C$6, " is ", Projections!DA$4,"."),(Projections!DA$4-C$7)&gt;(Projections!DB$4-C$10),_xlfn.CONCAT("in ", Projections!DB$4-C$10+C$4, " dollars when ", C$9, " is ", Projections!DB$4,"."),(Projections!DA$4-C$7)=(Projections!DB$4-C$10),_xlfn.CONCAT("in ", Projections!DA$4-C$7+C$4, " dollars when both are ", Projections!DA$4,"."))</f>
        <v/>
      </c>
      <c r="M110" s="176"/>
      <c r="N110" s="176"/>
      <c r="O110" s="176"/>
      <c r="P110" s="176"/>
      <c r="Q110" s="176"/>
      <c r="R110" s="176"/>
      <c r="S110" s="176"/>
      <c r="T110" s="176"/>
      <c r="U110" s="176"/>
      <c r="V110" s="176"/>
      <c r="W110" s="176"/>
      <c r="X110" s="177"/>
    </row>
    <row r="111" spans="1:24" x14ac:dyDescent="0.3">
      <c r="A111" s="178"/>
      <c r="B111" s="176"/>
      <c r="C111" s="300"/>
      <c r="D111" s="176"/>
      <c r="E111" s="176"/>
      <c r="F111" s="176"/>
      <c r="G111" s="176"/>
      <c r="H111" s="176"/>
      <c r="I111" s="176"/>
      <c r="J111" s="176"/>
      <c r="K111" s="176"/>
      <c r="L111" s="176"/>
      <c r="M111" s="176"/>
      <c r="N111" s="176"/>
      <c r="O111" s="176"/>
      <c r="P111" s="176"/>
      <c r="Q111" s="287"/>
      <c r="R111" s="176"/>
      <c r="S111" s="176"/>
      <c r="T111" s="176"/>
      <c r="U111" s="176"/>
      <c r="V111" s="176"/>
      <c r="W111" s="176"/>
      <c r="X111" s="177"/>
    </row>
    <row r="112" spans="1:24" x14ac:dyDescent="0.3">
      <c r="A112" s="191"/>
      <c r="B112" s="179" t="str">
        <f>IF(ISBLANK(C$6),"","Income 3 name:")</f>
        <v/>
      </c>
      <c r="C112" s="396"/>
      <c r="D112" s="176"/>
      <c r="E112" s="176"/>
      <c r="F112" s="176"/>
      <c r="G112" s="176"/>
      <c r="H112" s="176"/>
      <c r="I112" s="176"/>
      <c r="J112" s="190" t="str">
        <f>IF(ISBLANK(C$113),"","Estimated monthly amount:")</f>
        <v/>
      </c>
      <c r="K112" s="254" t="str" cm="1">
        <f t="array" ref="K112">_xlfn.IFS(ISBLANK(C$113),"",(Projections!DA$4-C$7)&lt;(Projections!DB$4-C$10),-FV(C$103,(Projections!DA$4-C$7)-(C$102-C$4),0,C113),(Projections!DA$4-C$7)&gt;(Projections!DB$4-C$10),-FV(C$103,(Projections!DB$4-C$10)-(C$102-C$4),0,C113),(Projections!DA$4-C$7)=(Projections!DB$4-C$10),-FV(C$103,(Projections!DA$4-C$7)-(C$102-C$4),0,C113))</f>
        <v/>
      </c>
      <c r="L112" s="176" t="str" cm="1">
        <f t="array" ref="L112">_xlfn.IFS(ISBLANK(C$113),"",(Projections!DA$4-C$7)&lt;(Projections!DB$4-C$10),_xlfn.CONCAT("in ", Projections!DA$4-C$7+C$4, " dollars when ", C$6, " is ", Projections!DA$4,"."),(Projections!DA$4-C$7)&gt;(Projections!DB$4-C$10),_xlfn.CONCAT("in ", Projections!DB$4-C$10+C$4, " dollars when ", C$9, " is ", Projections!DB$4,"."),(Projections!DA$4-C$7)=(Projections!DB$4-C$10),_xlfn.CONCAT("in ", Projections!DA$4-C$7+C$4, " dollars when both are ", Projections!DA$4,"."))</f>
        <v/>
      </c>
      <c r="M112" s="176"/>
      <c r="N112" s="176"/>
      <c r="O112" s="176"/>
      <c r="P112" s="176"/>
      <c r="Q112" s="287"/>
      <c r="R112" s="176"/>
      <c r="S112" s="176"/>
      <c r="T112" s="176"/>
      <c r="U112" s="176"/>
      <c r="V112" s="176"/>
      <c r="W112" s="176"/>
      <c r="X112" s="177"/>
    </row>
    <row r="113" spans="1:24" x14ac:dyDescent="0.3">
      <c r="A113" s="191"/>
      <c r="B113" s="179" t="str">
        <f>IF(ISBLANK(C$6),"","Monthly amount:")</f>
        <v/>
      </c>
      <c r="C113" s="310"/>
      <c r="D113" s="176" t="str">
        <f>IF(ISBLANK(C$102),"",_xlfn.CONCAT("in ",C$102," dollars."))</f>
        <v/>
      </c>
      <c r="E113" s="176"/>
      <c r="F113" s="176"/>
      <c r="G113" s="176"/>
      <c r="H113" s="176"/>
      <c r="I113" s="176"/>
      <c r="J113" s="190" t="str">
        <f>IF(ISBLANK(C$113),"","Estimated annual amount:")</f>
        <v/>
      </c>
      <c r="K113" s="254" t="str">
        <f>IF(ISBLANK(C113),"",K112*12)</f>
        <v/>
      </c>
      <c r="L113" s="176" t="str" cm="1">
        <f t="array" ref="L113">_xlfn.IFS(ISBLANK(C$113),"",(Projections!DA$4-C$7)&lt;(Projections!DB$4-C$10),_xlfn.CONCAT("in ", Projections!DA$4-C$7+C$4, " dollars when ", C$6, " is ", Projections!DA$4,"."),(Projections!DA$4-C$7)&gt;(Projections!DB$4-C$10),_xlfn.CONCAT("in ", Projections!DB$4-C$10+C$4, " dollars when ", C$9, " is ", Projections!DB$4,"."),(Projections!DA$4-C$7)=(Projections!DB$4-C$10),_xlfn.CONCAT("in ", Projections!DA$4-C$7+C$4, " dollars when both are ", Projections!DA$4,"."))</f>
        <v/>
      </c>
      <c r="M113" s="176"/>
      <c r="N113" s="176"/>
      <c r="O113" s="176"/>
      <c r="P113" s="176"/>
      <c r="Q113" s="287"/>
      <c r="R113" s="176"/>
      <c r="S113" s="176"/>
      <c r="T113" s="176"/>
      <c r="U113" s="176"/>
      <c r="V113" s="176"/>
      <c r="W113" s="176"/>
      <c r="X113" s="177"/>
    </row>
    <row r="114" spans="1:24" x14ac:dyDescent="0.3">
      <c r="A114" s="178"/>
      <c r="B114" s="176"/>
      <c r="C114" s="300"/>
      <c r="D114" s="176"/>
      <c r="E114" s="176"/>
      <c r="F114" s="176"/>
      <c r="G114" s="176"/>
      <c r="H114" s="176"/>
      <c r="I114" s="176"/>
      <c r="J114" s="176"/>
      <c r="K114" s="176"/>
      <c r="L114" s="176"/>
      <c r="M114" s="176"/>
      <c r="N114" s="176"/>
      <c r="O114" s="176"/>
      <c r="P114" s="176"/>
      <c r="Q114" s="287"/>
      <c r="R114" s="176"/>
      <c r="S114" s="176"/>
      <c r="T114" s="176"/>
      <c r="U114" s="176"/>
      <c r="V114" s="176"/>
      <c r="W114" s="176"/>
      <c r="X114" s="177"/>
    </row>
    <row r="115" spans="1:24" x14ac:dyDescent="0.3">
      <c r="A115" s="178"/>
      <c r="B115" s="179" t="str">
        <f>IF(ISBLANK(C$6),"","Income 14name:")</f>
        <v/>
      </c>
      <c r="C115" s="396"/>
      <c r="D115" s="176"/>
      <c r="E115" s="176"/>
      <c r="F115" s="176"/>
      <c r="G115" s="176"/>
      <c r="H115" s="176"/>
      <c r="I115" s="176"/>
      <c r="J115" s="190" t="str">
        <f>IF(ISBLANK(C$116),"","Estimated monthly amount:")</f>
        <v/>
      </c>
      <c r="K115" s="254" t="str" cm="1">
        <f t="array" ref="K115">_xlfn.IFS(ISBLANK(C$116),"",(Projections!DA$4-C$7)&lt;(Projections!DB$4-C$10),-FV(C$103,(Projections!DA$4-C$7)-(C$102-C$4),0,C116),(Projections!DA$4-C$7)&gt;(Projections!DB$4-C$10),-FV(C$103,(Projections!DB$4-C$10)-(C$102-C$4),0,C116),(Projections!DA$4-C$7)=(Projections!DB$4-C$10),-FV(C$103,(Projections!DA$4-C$7)-(C$102-C$4),0,C116))</f>
        <v/>
      </c>
      <c r="L115" s="176" t="str" cm="1">
        <f t="array" ref="L115">_xlfn.IFS(ISBLANK(C$116),"",(Projections!DA$4-C$7)&lt;(Projections!DB$4-C$10),_xlfn.CONCAT("in ", Projections!DA$4-C$7+C$4, " dollars when ", C$6, " is ", Projections!DA$4,"."),(Projections!DA$4-C$7)&gt;(Projections!DB$4-C$10),_xlfn.CONCAT("in ", Projections!DB$4-C$10+C$4, " dollars when ", C$9, " is ", Projections!DB$4,"."),(Projections!DA$4-C$7)=(Projections!DB$4-C$10),_xlfn.CONCAT("in ", Projections!DA$4-C$7+C$4, " dollars when both are ", Projections!DA$4,"."))</f>
        <v/>
      </c>
      <c r="M115" s="176"/>
      <c r="N115" s="176"/>
      <c r="O115" s="176"/>
      <c r="P115" s="176"/>
      <c r="Q115" s="287"/>
      <c r="R115" s="176"/>
      <c r="S115" s="176"/>
      <c r="T115" s="176"/>
      <c r="U115" s="176"/>
      <c r="V115" s="176"/>
      <c r="W115" s="176"/>
      <c r="X115" s="177"/>
    </row>
    <row r="116" spans="1:24" x14ac:dyDescent="0.3">
      <c r="A116" s="178"/>
      <c r="B116" s="179" t="str">
        <f>IF(ISBLANK(C$6),"","Monthly amount:")</f>
        <v/>
      </c>
      <c r="C116" s="310"/>
      <c r="D116" s="176" t="str">
        <f>IF(ISBLANK(C$102),"",_xlfn.CONCAT("in ",C$102," dollars."))</f>
        <v/>
      </c>
      <c r="E116" s="176"/>
      <c r="F116" s="176"/>
      <c r="G116" s="176"/>
      <c r="H116" s="176"/>
      <c r="I116" s="176"/>
      <c r="J116" s="190" t="str">
        <f>IF(ISBLANK(C$116),"","Estimated annual amount:")</f>
        <v/>
      </c>
      <c r="K116" s="254" t="str">
        <f>IF(ISBLANK(C116),"",K115*12)</f>
        <v/>
      </c>
      <c r="L116" s="176" t="str" cm="1">
        <f t="array" ref="L116">_xlfn.IFS(ISBLANK(C$116),"",(Projections!DA$4-C$7)&lt;(Projections!DB$4-C$10),_xlfn.CONCAT("in ", Projections!DA$4-C$7+C$4, " dollars when ", C$6, " is ", Projections!DA$4,"."),(Projections!DA$4-C$7)&gt;(Projections!DB$4-C$10),_xlfn.CONCAT("in ", Projections!DB$4-C$10+C$4, " dollars when ", C$9, " is ", Projections!DB$4,"."),(Projections!DA$4-C$7)=(Projections!DB$4-C$10),_xlfn.CONCAT("in ", Projections!DA$4-C$7+C$4, " dollars when both are ", Projections!DA$4,"."))</f>
        <v/>
      </c>
      <c r="M116" s="176"/>
      <c r="N116" s="176"/>
      <c r="O116" s="176"/>
      <c r="P116" s="176"/>
      <c r="Q116" s="287"/>
      <c r="R116" s="176"/>
      <c r="S116" s="176"/>
      <c r="T116" s="176"/>
      <c r="U116" s="176"/>
      <c r="V116" s="176"/>
      <c r="W116" s="176"/>
      <c r="X116" s="177"/>
    </row>
    <row r="117" spans="1:24" x14ac:dyDescent="0.3">
      <c r="A117" s="172"/>
      <c r="B117" s="174"/>
      <c r="C117" s="304"/>
      <c r="D117" s="174"/>
      <c r="E117" s="174"/>
      <c r="F117" s="174"/>
      <c r="G117" s="174"/>
      <c r="H117" s="174"/>
      <c r="I117" s="174"/>
      <c r="J117" s="174"/>
      <c r="K117" s="174"/>
      <c r="L117" s="174"/>
      <c r="M117" s="174"/>
      <c r="N117" s="174"/>
      <c r="O117" s="174"/>
      <c r="P117" s="174"/>
      <c r="Q117" s="288"/>
      <c r="R117" s="174"/>
      <c r="S117" s="174"/>
      <c r="T117" s="174"/>
      <c r="U117" s="174"/>
      <c r="V117" s="174"/>
      <c r="W117" s="174"/>
      <c r="X117" s="175"/>
    </row>
  </sheetData>
  <sheetProtection sheet="1" objects="1" scenarios="1"/>
  <dataConsolidate/>
  <conditionalFormatting sqref="C10 C21 C91 C18 C50">
    <cfRule type="expression" dxfId="61" priority="16">
      <formula>NOT(ISBLANK($C$9))</formula>
    </cfRule>
  </conditionalFormatting>
  <conditionalFormatting sqref="C7 C9 C17 C20 C89 C90">
    <cfRule type="expression" dxfId="60" priority="15">
      <formula>NOT(ISBLANK($C$6))</formula>
    </cfRule>
  </conditionalFormatting>
  <conditionalFormatting sqref="C32 C33 C35 C36 C38 C39 C41 C42">
    <cfRule type="expression" dxfId="59" priority="14">
      <formula>NOT(ISBLANK($C$6))</formula>
    </cfRule>
  </conditionalFormatting>
  <conditionalFormatting sqref="C49">
    <cfRule type="expression" dxfId="58" priority="10">
      <formula>NOT(ISBLANK($C$6))</formula>
    </cfRule>
  </conditionalFormatting>
  <conditionalFormatting sqref="C61 C62 C63 C65 C66 C67 C69 C70 C71 C73 C74 C75">
    <cfRule type="expression" dxfId="57" priority="9">
      <formula>NOT(ISBLANK($C$6))</formula>
    </cfRule>
  </conditionalFormatting>
  <conditionalFormatting sqref="I8">
    <cfRule type="containsText" dxfId="56" priority="5" operator="containsText" text="Insufficient funds">
      <formula>NOT(ISERROR(SEARCH("Insufficient funds",I8)))</formula>
    </cfRule>
  </conditionalFormatting>
  <conditionalFormatting sqref="C102:C103 C106:C107 C109:C110 C112:C113 C115:C116">
    <cfRule type="expression" dxfId="55" priority="4">
      <formula>NOT(ISBLANK($C$6))</formula>
    </cfRule>
  </conditionalFormatting>
  <conditionalFormatting sqref="I4 I6">
    <cfRule type="expression" dxfId="54" priority="3">
      <formula>NOT(ISBLANK($C$6))</formula>
    </cfRule>
  </conditionalFormatting>
  <conditionalFormatting sqref="C6">
    <cfRule type="expression" dxfId="53" priority="1">
      <formula>NOT(ISBLANK($C$4))</formula>
    </cfRule>
  </conditionalFormatting>
  <hyperlinks>
    <hyperlink ref="K98" r:id="rId1" xr:uid="{91E4C437-3046-4323-BCC5-4B123FF463BD}"/>
    <hyperlink ref="F80" r:id="rId2" xr:uid="{DA1ED89E-6FC8-46B5-A5BF-8F05251597AC}"/>
    <hyperlink ref="I83" r:id="rId3" xr:uid="{E70ABF5F-723F-463E-B645-00DB4C6D1C9A}"/>
    <hyperlink ref="I85" r:id="rId4" xr:uid="{1BB2BAB3-8247-4C43-B320-C7AA913F2C95}"/>
  </hyperlinks>
  <pageMargins left="0.7" right="0.7" top="0.75" bottom="0.75" header="0.3" footer="0.3"/>
  <pageSetup orientation="portrait" r:id="rId5"/>
  <drawing r:id="rId6"/>
  <extLst>
    <ext xmlns:x14="http://schemas.microsoft.com/office/spreadsheetml/2009/9/main" uri="{CCE6A557-97BC-4b89-ADB6-D9C93CAAB3DF}">
      <x14:dataValidations xmlns:xm="http://schemas.microsoft.com/office/excel/2006/main" count="2">
        <x14:dataValidation type="list" allowBlank="1" showInputMessage="1" showErrorMessage="1" xr:uid="{6B157F13-C48D-41A4-879A-32FED75D35D6}">
          <x14:formula1>
            <xm:f>Lookups!$D$109:$D$113</xm:f>
          </x14:formula1>
          <xm:sqref>I4</xm:sqref>
        </x14:dataValidation>
        <x14:dataValidation type="list" allowBlank="1" showInputMessage="1" showErrorMessage="1" xr:uid="{B58AC429-9340-469E-8927-F7D0898E224B}">
          <x14:formula1>
            <xm:f>Lookups!$C$223:$C$232</xm:f>
          </x14:formula1>
          <xm:sqref>I6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AA9B0-7AE9-4486-81FA-1ABC995134A2}">
  <sheetPr codeName="Sheet3">
    <tabColor theme="5" tint="0.39997558519241921"/>
  </sheetPr>
  <dimension ref="A1:DH92"/>
  <sheetViews>
    <sheetView zoomScaleNormal="100" workbookViewId="0">
      <pane xSplit="3" ySplit="6" topLeftCell="D7" activePane="bottomRight" state="frozen"/>
      <selection pane="topRight" activeCell="D1" sqref="D1"/>
      <selection pane="bottomLeft" activeCell="A8" sqref="A8"/>
      <selection pane="bottomRight" activeCell="E1" sqref="E1"/>
    </sheetView>
  </sheetViews>
  <sheetFormatPr defaultRowHeight="14.4" x14ac:dyDescent="0.3"/>
  <cols>
    <col min="1" max="2" width="11.77734375" style="5" customWidth="1"/>
    <col min="3" max="3" width="12.77734375" style="357" bestFit="1" customWidth="1"/>
    <col min="4" max="10" width="11.77734375" style="1" customWidth="1"/>
    <col min="11" max="11" width="3.33203125" style="1" customWidth="1"/>
    <col min="12" max="13" width="11.77734375" style="1" customWidth="1"/>
    <col min="14" max="14" width="1.21875" style="1" customWidth="1"/>
    <col min="15" max="18" width="13.77734375" style="1" customWidth="1"/>
    <col min="19" max="19" width="1.21875" style="1" customWidth="1"/>
    <col min="20" max="23" width="11.77734375" style="1" customWidth="1"/>
    <col min="24" max="24" width="1.21875" style="1" customWidth="1"/>
    <col min="25" max="27" width="11.77734375" style="1" customWidth="1"/>
    <col min="28" max="28" width="3.33203125" style="1" customWidth="1"/>
    <col min="29" max="35" width="11.77734375" style="1" customWidth="1"/>
    <col min="36" max="36" width="3.33203125" style="1" customWidth="1"/>
    <col min="37" max="39" width="11.77734375" style="1" customWidth="1"/>
    <col min="40" max="40" width="3.33203125" style="1" customWidth="1"/>
    <col min="41" max="43" width="11.77734375" style="1" customWidth="1"/>
    <col min="44" max="44" width="3.33203125" style="1" customWidth="1"/>
    <col min="45" max="48" width="11.77734375" style="1" customWidth="1"/>
    <col min="49" max="49" width="11.77734375" style="1" hidden="1" customWidth="1"/>
    <col min="50" max="50" width="3.33203125" style="1" customWidth="1"/>
    <col min="51" max="52" width="11.77734375" style="1" customWidth="1"/>
    <col min="53" max="54" width="11.77734375" style="1" hidden="1" customWidth="1"/>
    <col min="55" max="55" width="3.33203125" style="1" customWidth="1"/>
    <col min="56" max="59" width="11.77734375" style="1" hidden="1" customWidth="1"/>
    <col min="60" max="61" width="11.77734375" style="1" customWidth="1"/>
    <col min="62" max="64" width="11.77734375" style="1" hidden="1" customWidth="1"/>
    <col min="65" max="65" width="11.77734375" hidden="1" customWidth="1"/>
    <col min="66" max="69" width="11.77734375" style="1" hidden="1" customWidth="1"/>
    <col min="70" max="70" width="3.33203125" style="1" customWidth="1"/>
    <col min="71" max="76" width="11.77734375" style="1" hidden="1" customWidth="1"/>
    <col min="77" max="77" width="11.77734375" style="1" customWidth="1"/>
    <col min="78" max="78" width="3.33203125" style="1" customWidth="1"/>
    <col min="79" max="79" width="11.77734375" style="1" customWidth="1"/>
    <col min="80" max="80" width="3.33203125" style="1" hidden="1" customWidth="1"/>
    <col min="81" max="82" width="11.77734375" style="1" hidden="1" customWidth="1"/>
    <col min="105" max="108" width="0" hidden="1" customWidth="1"/>
    <col min="109" max="109" width="10.21875" hidden="1" customWidth="1"/>
    <col min="110" max="112" width="0" hidden="1" customWidth="1"/>
  </cols>
  <sheetData>
    <row r="1" spans="1:112" ht="18" x14ac:dyDescent="0.35">
      <c r="A1" s="408" t="s">
        <v>31</v>
      </c>
      <c r="B1" s="408"/>
      <c r="D1" s="1" t="s">
        <v>261</v>
      </c>
      <c r="E1" s="348"/>
      <c r="F1" s="383" t="str">
        <f>_xlfn.CONCAT("&lt;-- ",Setup!C4," dollars")</f>
        <v>&lt;--  dollars</v>
      </c>
      <c r="H1" s="321"/>
      <c r="I1" s="349" t="s">
        <v>234</v>
      </c>
      <c r="K1" s="166" t="str" cm="1">
        <f t="array" ref="K1">IF(ISBLANK(Setup!C6),"Complete the Setup worksheet first.",IF(DE1=0,"Enter your Target Net Income in E1 to create projections.",IF(OR(AND(W2&lt;&gt;Setup!$C$6,W2&lt;&gt;Setup!$C$9),AND(ISBLANK(Setup!$C$10),W2&lt;&gt;Setup!$C$6)),"Select a name in the W2 dropdown list.",IF(COUNTIF(CD7:CD92,"Under")&gt;0,"Insufficient funds to meet your targets.",_xlfn.CONCAT("You will leave an estate with a ",TEXT(LOOKUP(2,1/(AK7:AK92&lt;&gt;0),AK7:AK92),"$#,##0_);[Red]($#,##0)"),"balance.")))))</f>
        <v>Complete the Setup worksheet first.</v>
      </c>
      <c r="L1" s="159"/>
      <c r="M1" s="158"/>
      <c r="N1" s="159"/>
      <c r="O1" s="394"/>
      <c r="P1" s="365"/>
      <c r="Q1" s="366"/>
      <c r="R1" s="367" t="str">
        <f ca="1">_xlfn.CONCAT("Totals for ",YEAR(TODAY()),"  (see columns AK, AL, and AM)")</f>
        <v>Totals for 2022  (see columns AK, AL, and AM)</v>
      </c>
      <c r="S1" s="368"/>
      <c r="T1" s="368"/>
      <c r="U1" s="368"/>
      <c r="V1" s="369"/>
      <c r="W1" s="382"/>
      <c r="X1" s="382"/>
      <c r="Y1" s="382"/>
      <c r="Z1" s="382"/>
      <c r="AA1" s="382"/>
      <c r="AB1" s="382"/>
      <c r="AC1" s="382"/>
      <c r="AD1" s="382"/>
      <c r="AE1" s="382"/>
      <c r="AF1" s="382"/>
      <c r="AG1" s="382"/>
      <c r="AY1" s="409" t="s">
        <v>289</v>
      </c>
      <c r="AZ1" s="410"/>
      <c r="BA1" s="410"/>
      <c r="BB1" s="410"/>
      <c r="BC1" s="410"/>
      <c r="BD1" s="410"/>
      <c r="BE1" s="410"/>
      <c r="BF1" s="410"/>
      <c r="BG1" s="410"/>
      <c r="BH1" s="410"/>
      <c r="BI1" s="410"/>
      <c r="BJ1" s="410"/>
      <c r="BK1" s="410"/>
      <c r="BL1" s="410"/>
      <c r="BM1" s="410"/>
      <c r="BN1" s="410"/>
      <c r="BO1" s="410"/>
      <c r="BP1" s="410"/>
      <c r="BQ1" s="410"/>
      <c r="BR1" s="410"/>
      <c r="BS1" s="410"/>
      <c r="BT1" s="410"/>
      <c r="BU1" s="410"/>
      <c r="BV1" s="410"/>
      <c r="BW1" s="410"/>
      <c r="BX1" s="410"/>
      <c r="BY1" s="410"/>
      <c r="BZ1" s="410"/>
      <c r="CA1" s="411"/>
      <c r="CB1" s="52"/>
      <c r="CD1" s="5"/>
      <c r="DA1" s="389"/>
      <c r="DB1" s="389"/>
      <c r="DC1" s="389"/>
      <c r="DD1" s="389"/>
      <c r="DE1" s="390">
        <f>E1</f>
        <v>0</v>
      </c>
      <c r="DF1" s="389"/>
      <c r="DG1" s="389"/>
      <c r="DH1" s="391">
        <f>H1</f>
        <v>0</v>
      </c>
    </row>
    <row r="2" spans="1:112" ht="16.2" thickBot="1" x14ac:dyDescent="0.35">
      <c r="A2" s="345" t="str">
        <f>IF(ISBLANK(Setup!$C$6),"",Setup!$C$6)</f>
        <v/>
      </c>
      <c r="B2" s="347" t="str">
        <f>IF(ISBLANK(Setup!$C$9),"No spouse ",Setup!$C$9)</f>
        <v xml:space="preserve">No spouse </v>
      </c>
      <c r="C2" s="440" t="s">
        <v>246</v>
      </c>
      <c r="D2" s="1" t="s">
        <v>262</v>
      </c>
      <c r="E2" s="348"/>
      <c r="F2" s="383" t="str">
        <f>_xlfn.CONCAT("&lt;-- ",Setup!C4," dollars")</f>
        <v>&lt;--  dollars</v>
      </c>
      <c r="H2" s="344"/>
      <c r="I2" s="351" t="s">
        <v>235</v>
      </c>
      <c r="K2" s="167" t="str">
        <f>IF(OR(ISBLANK(Setup!C6),DE1=0,OR(AND(W2&lt;&gt;Setup!$C$6,W2&lt;&gt;Setup!$C$9),AND(ISBLANK(Setup!$C$10),W2&lt;&gt;Setup!$C$6))),"",IF(K1="Insufficient funds to meet your targets","     Increase investments or reduce income needs",_xlfn.CONCAT("Annual investments are ",TEXT(SUM(D4,F4,T4,U4,V4,W4,AC4,AE4),"$#,##0_);[Red]($#,##0)"),", which is ",TEXT(SUM(D4,F4,T4,U4,V4,W4,AC4,AE4)/12,"$#,##0_);[Red]($#,##0)"),"invested monthly.")))</f>
        <v/>
      </c>
      <c r="L2" s="143"/>
      <c r="M2" s="143"/>
      <c r="N2" s="143"/>
      <c r="O2" s="143"/>
      <c r="P2" s="143"/>
      <c r="Q2" s="160"/>
      <c r="R2" s="370" t="str">
        <f ca="1">IF(OR(ISBLANK(Setup!C6),DE1=0,OR(AND(W2&lt;&gt;Setup!$C$6,W2&lt;&gt;Setup!$C$9),AND(ISBLANK(Setup!$C$10),W2&lt;&gt;Setup!$C$6))),"",_xlfn.CONCAT("          Jan 1 = ",TEXT(VLOOKUP(DATE(YEAR(TODAY()),1,1),C7:AM92,35),"$#,##0_);[Red]($#,##0)")," and Dec 31 = ",TEXT(VLOOKUP(DATE(YEAR(TODAY())+1,1,1),C7:AM92,35),"$#,##0_);[Red]($#,##0)")))</f>
        <v/>
      </c>
      <c r="S2" s="371"/>
      <c r="T2" s="372"/>
      <c r="U2" s="371"/>
      <c r="V2" s="373"/>
      <c r="W2" s="401" t="s">
        <v>288</v>
      </c>
      <c r="X2" s="353" t="s">
        <v>263</v>
      </c>
      <c r="Y2" s="382"/>
      <c r="Z2" s="382"/>
      <c r="AA2" s="382"/>
      <c r="AB2" s="382"/>
      <c r="AC2" s="382"/>
      <c r="AD2" s="382"/>
      <c r="AE2" s="382"/>
      <c r="AF2" s="382"/>
      <c r="AG2" s="382"/>
      <c r="AY2" s="270">
        <f>SUM(AY7:AY92)</f>
        <v>0</v>
      </c>
      <c r="AZ2" s="271">
        <f>SUM(AZ7:AZ92)</f>
        <v>0</v>
      </c>
      <c r="BA2" s="276"/>
      <c r="BB2" s="278"/>
      <c r="BC2" s="277"/>
      <c r="BD2" s="270">
        <f>SUM(BD7:BD92)</f>
        <v>0</v>
      </c>
      <c r="BE2" s="270">
        <f>SUM(BE7:BE92)</f>
        <v>0</v>
      </c>
      <c r="BF2" s="270">
        <f>SUM(BF7:BF92)</f>
        <v>0</v>
      </c>
      <c r="BG2" s="272"/>
      <c r="BH2" s="270">
        <f>SUM(BH7:BH92)</f>
        <v>0</v>
      </c>
      <c r="BI2" s="270">
        <f>SUM(BI7:BI92)</f>
        <v>0</v>
      </c>
      <c r="BJ2" s="270"/>
      <c r="BK2" s="271"/>
      <c r="BL2" s="271"/>
      <c r="BM2" s="271"/>
      <c r="BN2" s="271"/>
      <c r="BO2" s="271"/>
      <c r="BP2" s="271">
        <f>SUM(BP7:BP92)</f>
        <v>0</v>
      </c>
      <c r="BQ2" s="279"/>
      <c r="BR2" s="280"/>
      <c r="BS2" s="69">
        <f>SUM(BS7:BS92)</f>
        <v>0</v>
      </c>
      <c r="BT2" s="69"/>
      <c r="BU2" s="69"/>
      <c r="BV2" s="69"/>
      <c r="BW2" s="69"/>
      <c r="BX2" s="273">
        <f ca="1">SUM(BX7:BX92)</f>
        <v>0</v>
      </c>
      <c r="BY2" s="69">
        <f ca="1">SUM(BY7:BY92)</f>
        <v>0</v>
      </c>
      <c r="BZ2" s="281"/>
      <c r="CA2" s="273">
        <f>SUM(CA7:CA92)</f>
        <v>0</v>
      </c>
      <c r="CB2" s="223"/>
      <c r="CD2" s="5"/>
      <c r="DA2" s="389" t="str">
        <f>A2</f>
        <v/>
      </c>
      <c r="DB2" s="389" t="str">
        <f>IF(ISBLANK(Setup!$C$9),A2,B2)</f>
        <v/>
      </c>
      <c r="DC2" s="389"/>
      <c r="DD2" s="389"/>
      <c r="DE2" s="392">
        <f>IF(ISBLANK(E2),E1,E2)</f>
        <v>0</v>
      </c>
      <c r="DF2" s="389"/>
      <c r="DG2" s="389"/>
      <c r="DH2" s="391">
        <f>IF(ISBLANK(H2),H1/2,H2)</f>
        <v>0</v>
      </c>
    </row>
    <row r="3" spans="1:112" x14ac:dyDescent="0.3">
      <c r="A3" s="400"/>
      <c r="B3" s="400"/>
      <c r="C3" s="441"/>
      <c r="D3" s="416" t="s">
        <v>259</v>
      </c>
      <c r="E3" s="416"/>
      <c r="F3" s="416"/>
      <c r="G3" s="416"/>
      <c r="H3" s="416"/>
      <c r="I3" s="417"/>
      <c r="J3" s="417"/>
      <c r="K3" s="240"/>
      <c r="L3" s="418" t="s">
        <v>212</v>
      </c>
      <c r="M3" s="419"/>
      <c r="N3" s="419"/>
      <c r="O3" s="419"/>
      <c r="P3" s="419"/>
      <c r="Q3" s="419"/>
      <c r="R3" s="419"/>
      <c r="S3" s="419"/>
      <c r="T3" s="419"/>
      <c r="U3" s="420"/>
      <c r="V3" s="420"/>
      <c r="W3" s="420"/>
      <c r="X3" s="420"/>
      <c r="Y3" s="420"/>
      <c r="Z3" s="420"/>
      <c r="AA3" s="421"/>
      <c r="AB3" s="52"/>
      <c r="AC3" s="415" t="s">
        <v>207</v>
      </c>
      <c r="AD3" s="415"/>
      <c r="AE3" s="415"/>
      <c r="AF3" s="415"/>
      <c r="AG3" s="415"/>
      <c r="AH3" s="415"/>
      <c r="AI3" s="415"/>
      <c r="AJ3" s="52"/>
      <c r="AK3" s="52"/>
      <c r="AL3" s="52"/>
      <c r="AM3" s="52"/>
      <c r="AN3" s="52"/>
      <c r="AQ3" s="52"/>
      <c r="AR3" s="52"/>
      <c r="AS3" s="425" t="s">
        <v>140</v>
      </c>
      <c r="AT3" s="426"/>
      <c r="AU3" s="426"/>
      <c r="AV3" s="426"/>
      <c r="AW3" s="426"/>
      <c r="AX3" s="426"/>
      <c r="AY3" s="426"/>
      <c r="AZ3" s="426"/>
      <c r="BA3" s="426"/>
      <c r="BB3" s="426"/>
      <c r="BC3" s="426"/>
      <c r="BD3" s="426"/>
      <c r="BE3" s="426"/>
      <c r="BF3" s="426"/>
      <c r="BG3" s="426"/>
      <c r="BH3" s="426"/>
      <c r="BI3" s="426"/>
      <c r="BJ3" s="426"/>
      <c r="BK3" s="426"/>
      <c r="BL3" s="426"/>
      <c r="BM3" s="426"/>
      <c r="BN3" s="426"/>
      <c r="BO3" s="426"/>
      <c r="BP3" s="427"/>
      <c r="BR3" s="36"/>
      <c r="BS3" s="428" t="s">
        <v>144</v>
      </c>
      <c r="BT3" s="429"/>
      <c r="BU3" s="429"/>
      <c r="BV3" s="429"/>
      <c r="BW3" s="429"/>
      <c r="BX3" s="429"/>
      <c r="BY3" s="430"/>
      <c r="BZ3" s="36"/>
      <c r="CA3" s="212" t="s">
        <v>213</v>
      </c>
      <c r="CB3" s="36"/>
      <c r="CC3" s="53"/>
      <c r="CD3"/>
      <c r="DA3" s="389">
        <f>A3</f>
        <v>0</v>
      </c>
      <c r="DB3" s="389">
        <f>IF(ISBLANK(Setup!$C$9),A3,B3)</f>
        <v>0</v>
      </c>
      <c r="DC3" s="389"/>
      <c r="DD3" s="389"/>
      <c r="DE3" s="389"/>
      <c r="DF3" s="389"/>
      <c r="DG3" s="389"/>
      <c r="DH3" s="389"/>
    </row>
    <row r="4" spans="1:112" x14ac:dyDescent="0.3">
      <c r="A4" s="346"/>
      <c r="B4" s="346"/>
      <c r="C4" s="349" t="s">
        <v>238</v>
      </c>
      <c r="D4" s="322"/>
      <c r="E4" s="350" t="s">
        <v>224</v>
      </c>
      <c r="F4" s="323"/>
      <c r="G4" s="352" t="s">
        <v>222</v>
      </c>
      <c r="H4" s="4"/>
      <c r="I4" s="4"/>
      <c r="J4" s="4"/>
      <c r="K4" s="4"/>
      <c r="L4" s="1">
        <f>Setup!C49</f>
        <v>0</v>
      </c>
      <c r="M4" s="1">
        <f>Setup!C50</f>
        <v>0</v>
      </c>
      <c r="O4" s="412" t="s">
        <v>134</v>
      </c>
      <c r="P4" s="413"/>
      <c r="Q4" s="413"/>
      <c r="R4" s="414"/>
      <c r="S4" s="170"/>
      <c r="T4" s="324"/>
      <c r="U4" s="324"/>
      <c r="V4" s="324"/>
      <c r="W4" s="325"/>
      <c r="X4" s="268"/>
      <c r="Y4" s="353" t="s">
        <v>222</v>
      </c>
      <c r="Z4" s="7"/>
      <c r="AA4" s="7"/>
      <c r="AC4" s="322"/>
      <c r="AD4" s="350" t="s">
        <v>224</v>
      </c>
      <c r="AE4" s="323"/>
      <c r="AF4" s="350" t="s">
        <v>223</v>
      </c>
      <c r="AI4" s="277"/>
      <c r="AK4" s="409" t="s">
        <v>2</v>
      </c>
      <c r="AL4" s="410"/>
      <c r="AM4" s="411"/>
      <c r="AO4" s="220" t="s">
        <v>126</v>
      </c>
      <c r="AP4" s="384" t="s">
        <v>261</v>
      </c>
      <c r="AQ4" s="384" t="s">
        <v>262</v>
      </c>
      <c r="AS4" s="422" t="s">
        <v>135</v>
      </c>
      <c r="AT4" s="423"/>
      <c r="AU4" s="423"/>
      <c r="AV4" s="423"/>
      <c r="AW4" s="424"/>
      <c r="AX4" s="266"/>
      <c r="AY4" s="434" t="s">
        <v>97</v>
      </c>
      <c r="AZ4" s="435"/>
      <c r="BA4" s="436"/>
      <c r="BB4" s="71" t="s">
        <v>5</v>
      </c>
      <c r="BC4" s="264"/>
      <c r="BD4" s="437" t="s">
        <v>211</v>
      </c>
      <c r="BE4" s="438"/>
      <c r="BF4" s="438"/>
      <c r="BG4" s="438"/>
      <c r="BH4" s="438"/>
      <c r="BI4" s="439"/>
      <c r="BJ4" s="197"/>
      <c r="BK4" s="198"/>
      <c r="BL4" s="198"/>
      <c r="BM4" s="198"/>
      <c r="BN4" s="198"/>
      <c r="BO4" s="198"/>
      <c r="BP4" s="168" t="s">
        <v>141</v>
      </c>
      <c r="BQ4" s="215" t="s">
        <v>5</v>
      </c>
      <c r="BR4" s="199"/>
      <c r="BS4" s="431" t="s">
        <v>221</v>
      </c>
      <c r="BT4" s="432"/>
      <c r="BU4" s="432"/>
      <c r="BV4" s="432"/>
      <c r="BW4" s="432"/>
      <c r="BX4" s="432"/>
      <c r="BY4" s="433"/>
      <c r="BZ4" s="239"/>
      <c r="CA4" s="282" t="s">
        <v>208</v>
      </c>
      <c r="CB4" s="239"/>
      <c r="CC4" s="5"/>
      <c r="CD4"/>
      <c r="DA4" s="389">
        <f t="shared" ref="DA4:DA6" si="0">A4</f>
        <v>0</v>
      </c>
      <c r="DB4" s="389">
        <f>IF(ISBLANK(Setup!$C$9),A4,B4)</f>
        <v>0</v>
      </c>
      <c r="DC4" s="389"/>
      <c r="DD4" s="389"/>
      <c r="DE4" s="389"/>
      <c r="DF4" s="389"/>
      <c r="DG4" s="389"/>
      <c r="DH4" s="389"/>
    </row>
    <row r="5" spans="1:112" x14ac:dyDescent="0.3">
      <c r="A5" s="346"/>
      <c r="B5" s="346"/>
      <c r="C5" s="349" t="s">
        <v>237</v>
      </c>
      <c r="D5" s="9"/>
      <c r="E5" s="227"/>
      <c r="F5" s="9" t="str">
        <f>IF(ISBLANK(Setup!$C$9),"No spouse","")</f>
        <v>No spouse</v>
      </c>
      <c r="G5" s="227"/>
      <c r="H5" s="10" t="s">
        <v>2</v>
      </c>
      <c r="I5" s="9" t="s">
        <v>3</v>
      </c>
      <c r="J5" s="228" t="s">
        <v>2</v>
      </c>
      <c r="K5" s="6"/>
      <c r="L5" s="205">
        <f>Setup!C6</f>
        <v>0</v>
      </c>
      <c r="M5" s="205" t="str">
        <f>IF(ISBLANK(Setup!$C$9),"No spouse",Setup!$C$9)</f>
        <v>No spouse</v>
      </c>
      <c r="N5" s="169"/>
      <c r="O5" s="217" t="str">
        <f>IF(ISBLANK(Setup!C61),"",Setup!C61)</f>
        <v/>
      </c>
      <c r="P5" s="217" t="str">
        <f>IF(ISBLANK(Setup!C65),"",Setup!C65)</f>
        <v/>
      </c>
      <c r="Q5" s="217" t="str">
        <f>IF(ISBLANK(Setup!C69),"",Setup!C69)</f>
        <v/>
      </c>
      <c r="R5" s="217" t="str">
        <f>IF(ISBLANK(Setup!C73),"",Setup!C73)</f>
        <v/>
      </c>
      <c r="S5" s="171"/>
      <c r="T5" s="217" t="str">
        <f>IF(ISBLANK(Setup!C32),"",Setup!C32)</f>
        <v/>
      </c>
      <c r="U5" s="217" t="str">
        <f>IF(ISBLANK(Setup!C35),"",Setup!C35)</f>
        <v/>
      </c>
      <c r="V5" s="217" t="str">
        <f>IF(ISBLANK(Setup!C38),"",Setup!C38)</f>
        <v/>
      </c>
      <c r="W5" s="217" t="str">
        <f>IF(ISBLANK(Setup!C41),"",Setup!C41)</f>
        <v/>
      </c>
      <c r="X5" s="269"/>
      <c r="Y5" s="208" t="s">
        <v>2</v>
      </c>
      <c r="Z5" s="208" t="s">
        <v>3</v>
      </c>
      <c r="AA5" s="274"/>
      <c r="AB5" s="11"/>
      <c r="AC5" s="163"/>
      <c r="AD5" s="164"/>
      <c r="AE5" s="162" t="str">
        <f>IF(ISBLANK(Setup!$C$9),"No spouse","")</f>
        <v>No spouse</v>
      </c>
      <c r="AF5" s="165"/>
      <c r="AG5" s="8" t="s">
        <v>2</v>
      </c>
      <c r="AH5" s="211" t="s">
        <v>3</v>
      </c>
      <c r="AI5" s="228" t="s">
        <v>2</v>
      </c>
      <c r="AJ5" s="284"/>
      <c r="AK5" s="270"/>
      <c r="AL5" s="275" t="s">
        <v>2</v>
      </c>
      <c r="AM5" s="224">
        <f>SUM(AM7:AM92)</f>
        <v>0</v>
      </c>
      <c r="AN5" s="11"/>
      <c r="AO5" s="218" t="s">
        <v>4</v>
      </c>
      <c r="AP5" s="216" t="s">
        <v>0</v>
      </c>
      <c r="AQ5" s="216" t="s">
        <v>0</v>
      </c>
      <c r="AR5" s="53"/>
      <c r="AS5" s="213" t="str">
        <f>IF(ISBLANK(Setup!C106),"",Setup!C106)</f>
        <v/>
      </c>
      <c r="AT5" s="213" t="str">
        <f>IF(ISBLANK(Setup!C109),"",Setup!C109)</f>
        <v/>
      </c>
      <c r="AU5" s="213" t="str">
        <f>IF(ISBLANK(Setup!C112),"",Setup!C112)</f>
        <v/>
      </c>
      <c r="AV5" s="214" t="str">
        <f>IF(ISBLANK(Setup!C115),"",Setup!C115)</f>
        <v/>
      </c>
      <c r="AW5" s="72" t="s">
        <v>8</v>
      </c>
      <c r="AX5" s="265"/>
      <c r="AY5" s="203">
        <f>Setup!$C$6</f>
        <v>0</v>
      </c>
      <c r="AZ5" s="203" t="str">
        <f>IF(ISBLANK(Setup!$C$9),"",Setup!$C$9)</f>
        <v/>
      </c>
      <c r="BA5" s="72" t="s">
        <v>8</v>
      </c>
      <c r="BB5" s="216" t="s">
        <v>11</v>
      </c>
      <c r="BC5" s="200"/>
      <c r="BD5" s="44">
        <f>Setup!$C$6</f>
        <v>0</v>
      </c>
      <c r="BE5" s="44" t="str">
        <f>IF(ISBLANK(Setup!$C$9),"",Setup!$C$9)</f>
        <v/>
      </c>
      <c r="BF5" s="44" t="s">
        <v>33</v>
      </c>
      <c r="BG5" s="70" t="s">
        <v>8</v>
      </c>
      <c r="BH5" s="44">
        <f>Setup!$C$6</f>
        <v>0</v>
      </c>
      <c r="BI5" s="44" t="str">
        <f>IF(ISBLANK(Setup!$C$9),"",Setup!$C$9)</f>
        <v/>
      </c>
      <c r="BJ5" s="127" t="s">
        <v>61</v>
      </c>
      <c r="BK5" s="127" t="s">
        <v>113</v>
      </c>
      <c r="BL5" s="127" t="s">
        <v>114</v>
      </c>
      <c r="BM5" s="127" t="s">
        <v>115</v>
      </c>
      <c r="BN5" s="128" t="s">
        <v>10</v>
      </c>
      <c r="BO5" s="73" t="s">
        <v>117</v>
      </c>
      <c r="BP5" s="201" t="s">
        <v>1</v>
      </c>
      <c r="BQ5" s="216" t="s">
        <v>11</v>
      </c>
      <c r="BR5" s="200"/>
      <c r="BS5" s="209" t="s">
        <v>86</v>
      </c>
      <c r="BT5" s="135" t="s">
        <v>113</v>
      </c>
      <c r="BU5" s="135" t="s">
        <v>114</v>
      </c>
      <c r="BV5" s="135" t="s">
        <v>115</v>
      </c>
      <c r="BW5" s="243" t="s">
        <v>10</v>
      </c>
      <c r="BX5" s="201" t="s">
        <v>144</v>
      </c>
      <c r="BY5" s="210" t="s">
        <v>86</v>
      </c>
      <c r="BZ5" s="240"/>
      <c r="CA5" s="51" t="s">
        <v>86</v>
      </c>
      <c r="CB5" s="240"/>
      <c r="CC5" s="74" t="str">
        <f>IF(COUNTIF(CD7:CD92,"Under")&gt;0,"Under",IF(COUNTIF(CD7:CD92,"Over")&gt;0,"Over","On"))</f>
        <v>On</v>
      </c>
      <c r="CD5" s="195"/>
      <c r="DA5" s="389">
        <f t="shared" si="0"/>
        <v>0</v>
      </c>
      <c r="DB5" s="389">
        <f>IF(ISBLANK(Setup!$C$9),A5,B5)</f>
        <v>0</v>
      </c>
      <c r="DC5" s="389"/>
      <c r="DD5" s="389"/>
      <c r="DE5" s="389"/>
      <c r="DF5" s="389"/>
      <c r="DG5" s="389"/>
      <c r="DH5" s="389"/>
    </row>
    <row r="6" spans="1:112" ht="15" thickBot="1" x14ac:dyDescent="0.35">
      <c r="A6" s="361"/>
      <c r="B6" s="361"/>
      <c r="C6" s="358" t="s">
        <v>236</v>
      </c>
      <c r="D6" s="145">
        <f>Setup!$C$6</f>
        <v>0</v>
      </c>
      <c r="E6" s="374" t="s">
        <v>13</v>
      </c>
      <c r="F6" s="145" t="str">
        <f>IF(ISBLANK(Setup!$C$9),"Do not use N8",Setup!$C$9)</f>
        <v>Do not use N8</v>
      </c>
      <c r="G6" s="374" t="s">
        <v>13</v>
      </c>
      <c r="H6" s="145" t="s">
        <v>211</v>
      </c>
      <c r="I6" s="145" t="s">
        <v>6</v>
      </c>
      <c r="J6" s="146" t="s">
        <v>13</v>
      </c>
      <c r="K6" s="362"/>
      <c r="L6" s="207" t="s">
        <v>7</v>
      </c>
      <c r="M6" s="207" t="str">
        <f>IF(ISBLANK(Setup!$C$9),"","Life Ins.")</f>
        <v/>
      </c>
      <c r="N6" s="240"/>
      <c r="O6" s="206" t="str">
        <f>IF(OR(ISBLANK(Setup!C62),ISBLANK(Setup!C63)),"",_xlfn.CONCAT(TEXT(Setup!C62, "$#,##0_);[Red]($#,##0)"),"in ",Setup!C63))</f>
        <v/>
      </c>
      <c r="P6" s="206" t="str">
        <f>IF(OR(ISBLANK(Setup!C66),ISBLANK(Setup!C67)),"",_xlfn.CONCAT(TEXT(Setup!C66, "$#,##0_);[Red]($#,##0)"),"in ",Setup!C67))</f>
        <v/>
      </c>
      <c r="Q6" s="206" t="str">
        <f>IF(OR(ISBLANK(Setup!C70),ISBLANK(Setup!C71)),"",_xlfn.CONCAT(TEXT(Setup!C70, "$#,##0_);[Red]($#,##0)"),"in ",Setup!C71))</f>
        <v/>
      </c>
      <c r="R6" s="206" t="str">
        <f>IF(OR(ISBLANK(Setup!C74),ISBLANK(Setup!C75)),"",_xlfn.CONCAT(TEXT(Setup!C74, "$#,##0_);[Red]($#,##0)"),"in ",Setup!C75))</f>
        <v/>
      </c>
      <c r="S6" s="364"/>
      <c r="T6" s="207" t="str">
        <f t="shared" ref="T6:V6" si="1">IF(T5="","","Investment")</f>
        <v/>
      </c>
      <c r="U6" s="207" t="str">
        <f t="shared" si="1"/>
        <v/>
      </c>
      <c r="V6" s="207" t="str">
        <f t="shared" si="1"/>
        <v/>
      </c>
      <c r="W6" s="207" t="str">
        <f>IF(W5="","","Investment")</f>
        <v/>
      </c>
      <c r="X6" s="240"/>
      <c r="Y6" s="207" t="s">
        <v>209</v>
      </c>
      <c r="Z6" s="207" t="s">
        <v>6</v>
      </c>
      <c r="AA6" s="376" t="s">
        <v>13</v>
      </c>
      <c r="AB6" s="283"/>
      <c r="AC6" s="144">
        <f>Setup!C6</f>
        <v>0</v>
      </c>
      <c r="AD6" s="377" t="s">
        <v>13</v>
      </c>
      <c r="AE6" s="144" t="str">
        <f>IF(ISBLANK(Setup!$C$9),"Do not use F8",Setup!$C$9)</f>
        <v>Do not use F8</v>
      </c>
      <c r="AF6" s="376" t="s">
        <v>13</v>
      </c>
      <c r="AG6" s="144" t="s">
        <v>208</v>
      </c>
      <c r="AH6" s="150" t="s">
        <v>6</v>
      </c>
      <c r="AI6" s="146" t="s">
        <v>13</v>
      </c>
      <c r="AJ6" s="285"/>
      <c r="AK6" s="225" t="s">
        <v>2</v>
      </c>
      <c r="AL6" s="146" t="s">
        <v>13</v>
      </c>
      <c r="AM6" s="147" t="s">
        <v>9</v>
      </c>
      <c r="AN6" s="11"/>
      <c r="AO6" s="219" t="s">
        <v>10</v>
      </c>
      <c r="AP6" s="267" t="s">
        <v>1</v>
      </c>
      <c r="AQ6" s="267" t="s">
        <v>1</v>
      </c>
      <c r="AR6" s="53"/>
      <c r="AS6" s="202" t="str">
        <f>IF(ISBLANK(Setup!C106),"",Setup!K107)</f>
        <v/>
      </c>
      <c r="AT6" s="202" t="str">
        <f>IF(ISBLANK(Setup!C109),"",Setup!K110)</f>
        <v/>
      </c>
      <c r="AU6" s="202" t="str">
        <f>IF(ISBLANK(Setup!C112),"",Setup!K113)</f>
        <v/>
      </c>
      <c r="AV6" s="202" t="str">
        <f>IF(ISBLANK(Setup!C115),"",Setup!K116)</f>
        <v/>
      </c>
      <c r="AW6" s="148" t="s">
        <v>1</v>
      </c>
      <c r="AX6" s="265"/>
      <c r="AY6" s="204" t="s">
        <v>1</v>
      </c>
      <c r="AZ6" s="204" t="str">
        <f>IF(ISBLANK(Setup!$C$9),"No spouse","Income")</f>
        <v>No spouse</v>
      </c>
      <c r="BA6" s="148" t="s">
        <v>1</v>
      </c>
      <c r="BB6" s="149" t="s">
        <v>143</v>
      </c>
      <c r="BC6" s="264"/>
      <c r="BD6" s="151" t="s">
        <v>28</v>
      </c>
      <c r="BE6" s="151" t="str">
        <f>IF(ISBLANK(Setup!$C$9),"No spouse","RMD")</f>
        <v>No spouse</v>
      </c>
      <c r="BF6" s="151" t="s">
        <v>1</v>
      </c>
      <c r="BG6" s="152" t="s">
        <v>1</v>
      </c>
      <c r="BH6" s="151" t="s">
        <v>126</v>
      </c>
      <c r="BI6" s="151" t="str">
        <f>IF(ISBLANK(Setup!$C$9),"No spouse","Withdrawal")</f>
        <v>No spouse</v>
      </c>
      <c r="BJ6" s="153" t="s">
        <v>214</v>
      </c>
      <c r="BK6" s="154" t="s">
        <v>107</v>
      </c>
      <c r="BL6" s="154" t="s">
        <v>107</v>
      </c>
      <c r="BM6" s="154" t="s">
        <v>107</v>
      </c>
      <c r="BN6" s="155" t="s">
        <v>108</v>
      </c>
      <c r="BO6" s="156" t="s">
        <v>12</v>
      </c>
      <c r="BP6" s="156" t="s">
        <v>12</v>
      </c>
      <c r="BQ6" s="149" t="s">
        <v>143</v>
      </c>
      <c r="BR6" s="286"/>
      <c r="BS6" s="207" t="s">
        <v>1</v>
      </c>
      <c r="BT6" s="156" t="s">
        <v>107</v>
      </c>
      <c r="BU6" s="156" t="s">
        <v>107</v>
      </c>
      <c r="BV6" s="156" t="s">
        <v>107</v>
      </c>
      <c r="BW6" s="155" t="s">
        <v>108</v>
      </c>
      <c r="BX6" s="156" t="s">
        <v>12</v>
      </c>
      <c r="BY6" s="207" t="s">
        <v>142</v>
      </c>
      <c r="BZ6" s="240"/>
      <c r="CA6" s="150" t="s">
        <v>126</v>
      </c>
      <c r="CB6" s="240"/>
      <c r="CC6" s="157" t="s">
        <v>0</v>
      </c>
      <c r="CD6" s="196" t="s">
        <v>137</v>
      </c>
      <c r="DA6" s="389">
        <f t="shared" si="0"/>
        <v>0</v>
      </c>
      <c r="DB6" s="389">
        <f>IF(ISBLANK(Setup!$C$9),A6,B6)</f>
        <v>0</v>
      </c>
      <c r="DC6" s="389"/>
      <c r="DD6" s="389"/>
      <c r="DE6" s="389"/>
      <c r="DF6" s="389"/>
      <c r="DG6" s="389"/>
      <c r="DH6" s="389"/>
    </row>
    <row r="7" spans="1:112" x14ac:dyDescent="0.3">
      <c r="A7" s="354">
        <f>Setup!C7</f>
        <v>0</v>
      </c>
      <c r="B7" s="354">
        <f>IF(ISBLANK(Setup!C10),Setup!C7,Setup!C10)</f>
        <v>0</v>
      </c>
      <c r="C7" s="359">
        <f>DATE(Setup!C4,1,1)</f>
        <v>1</v>
      </c>
      <c r="D7" s="326">
        <f>Setup!C17</f>
        <v>0</v>
      </c>
      <c r="E7" s="375"/>
      <c r="F7" s="326">
        <f>Setup!C18</f>
        <v>0</v>
      </c>
      <c r="G7" s="375"/>
      <c r="H7" s="1">
        <f>SUM(D7,F7)</f>
        <v>0</v>
      </c>
      <c r="I7" s="2">
        <f t="shared" ref="I7:I38" si="2">IF(AK7=0,0,H7/AK7)</f>
        <v>0</v>
      </c>
      <c r="J7" s="14">
        <f t="shared" ref="J7:J9" si="3">SUM(E7,G7)</f>
        <v>0</v>
      </c>
      <c r="L7" s="402" cm="1">
        <f t="array" ref="L7">_xlfn.IFS(AND(A7&gt;DA$6,B7&gt;DB$6),0,A7&lt;DA$6,0,A7=DA$6,L$4,AND(A7&gt;DA$6,B7&lt;=DB$4),L6*(1+DH$1),AND(A7&gt;DA$6,B7&gt;DB$4),IF(Y6=0,0,(L6-((L6/Y6)*BY6))*(1+DH$2)))</f>
        <v>0</v>
      </c>
      <c r="M7" s="402" cm="1">
        <f t="array" ref="M7">_xlfn.IFS(AND(A7&gt;DA$6,B7&gt;DB$6),0,B7&lt;DB$6,0,B7=DB$6,M$4,AND(B7&gt;DB$6,A7&lt;=DA$4),M6*(1+DH$1),AND(A7&gt;DA$4,B7&gt;DB$6),IF(Y6=0,0,(M6-((M6/Y6)*BY6))*(1+DH$2)))</f>
        <v>0</v>
      </c>
      <c r="N7" s="327"/>
      <c r="O7" s="327" cm="1">
        <f t="array" ref="O7">_xlfn.IFS(OR(ISBLANK(Setup!C$63),Setup!C$63&gt;YEAR(C7),AND(A7&gt;DA$6,B7&gt;DB$6),ISBLANK(Y6)),0,Setup!C$63=YEAR(C7),Setup!C$62,AND(OR(A7&lt;=DA$4,B7&lt;=DB$4),Setup!C$63&lt;YEAR(C7)),O6*(1+DH$1),AND(A7&gt;DA$4,B7&gt;DB$4,Setup!C$63&lt;YEAR(C7)),IF(Y6=0,0,(O6-((O6/Y6)*BY6))*(1+DH$2)))</f>
        <v>0</v>
      </c>
      <c r="P7" s="327" cm="1">
        <f t="array" ref="P7">_xlfn.IFS(OR(ISBLANK(Setup!C$67),Setup!C$67&gt;YEAR(C7),AND(A7&gt;DA$6,B7&gt;DB$6)),0,Setup!C$67=YEAR(C7),Setup!C$66,AND(OR(A7&lt;=DA$4,B7&lt;=DB$4),Setup!C$67&lt;YEAR(C7)),P6*(1+DH$1),AND(A7&gt;DA$4,B7&gt;DB$4,Setup!C$67&lt;YEAR(C7)),IF(Y6=0,0,(P6-((P6/Y6)*BY6))*(1+DH$2)))</f>
        <v>0</v>
      </c>
      <c r="Q7" s="327" cm="1">
        <f t="array" ref="Q7">_xlfn.IFS(OR(ISBLANK(Setup!C$71),Setup!C$71&gt;YEAR(C7),AND(A7&gt;DA$6,B7&gt;DB$6)),0,Setup!C$71=YEAR(C7),Setup!C$70,AND(OR(A7&lt;=DA$4,B7&lt;=DB$4),Setup!C$71&lt;YEAR(C7)),Q6*(1+DH$1),AND(A7&gt;DA$4,B7&gt;DB$4,Setup!C$71&lt;YEAR(C7)),IF(Y6=0,0,(Q6-((Q6/Y6)*BY6))*(1+DH$2)))</f>
        <v>0</v>
      </c>
      <c r="R7" s="327" cm="1">
        <f t="array" ref="R7">_xlfn.IFS(OR(ISBLANK(Setup!C$75),Setup!C$75&gt;YEAR(C7),AND(A7&gt;DA$6,B7&gt;DB$6)),0,Setup!C$75=YEAR(C7),Setup!C$74,AND(OR(A7&lt;=DA$4,B7&lt;=DB$4),Setup!C$75&lt;YEAR(C7)),R6*(1+DH$1),AND(A7&gt;DA$4,B7&gt;DB$4,Setup!C$75&lt;YEAR(C7)),IF(Y6=0,0,(R6-((R6/Y6)*BY6))*(1+DH$2)))</f>
        <v>0</v>
      </c>
      <c r="S7" s="327"/>
      <c r="T7" s="326">
        <f>Setup!C33</f>
        <v>0</v>
      </c>
      <c r="U7" s="326">
        <f>Setup!C36</f>
        <v>0</v>
      </c>
      <c r="V7" s="326">
        <f>Setup!C39</f>
        <v>0</v>
      </c>
      <c r="W7" s="326">
        <f>Setup!C42</f>
        <v>0</v>
      </c>
      <c r="Y7" s="1">
        <f t="shared" ref="Y7" si="4">SUM(L7:W7)</f>
        <v>0</v>
      </c>
      <c r="Z7" s="2">
        <f>IF($AK7=0,0,Y7/$AK7)</f>
        <v>0</v>
      </c>
      <c r="AA7" s="375"/>
      <c r="AC7" s="326">
        <f>Setup!C20</f>
        <v>0</v>
      </c>
      <c r="AD7" s="375"/>
      <c r="AE7" s="326">
        <f>Setup!C21</f>
        <v>0</v>
      </c>
      <c r="AF7" s="375"/>
      <c r="AG7" s="1">
        <f t="shared" ref="AG7:AG41" si="5">SUM(AC7,AE7)</f>
        <v>0</v>
      </c>
      <c r="AH7" s="2">
        <f>IF(AK7=0,0,AG7/AK7)</f>
        <v>0</v>
      </c>
      <c r="AI7" s="14">
        <f t="shared" ref="AI7:AI38" si="6">SUM(AD7,AF7)</f>
        <v>0</v>
      </c>
      <c r="AK7" s="1">
        <f>AG7+H7+Y7</f>
        <v>0</v>
      </c>
      <c r="AL7" s="14">
        <f>AI7+J7+AA7</f>
        <v>0</v>
      </c>
      <c r="AM7" s="14" t="str">
        <f>IF(AL7&gt;0,AK7-AL7,"")</f>
        <v/>
      </c>
      <c r="AO7" s="15">
        <f t="shared" ref="AO7:AO38" si="7">IF(AK7=0,0,(BH7+BI7+BY7+CA7)/AK7)</f>
        <v>0</v>
      </c>
      <c r="AP7" s="1">
        <f>DE1</f>
        <v>0</v>
      </c>
      <c r="AQ7" s="1">
        <f>DE2</f>
        <v>0</v>
      </c>
      <c r="AS7" s="1" cm="1">
        <f t="array" ref="AS7">_xlfn.IFS(OR(AS$6="",AND(A7&gt;=DA$6,B7&gt;=DB$6),AND(A7&lt;DA$4,B7&lt;DB$4)),0,AND(A7=DA$4,DA$4&lt;=DB$4),AS$6,AND(B7=DB$4,DA$4&gt;=DB$4),AS$6,OR(A7&gt;DA$4,B7&gt;DB$4),AS6*(1+Setup!C$103))</f>
        <v>0</v>
      </c>
      <c r="AT7" s="1" cm="1">
        <f t="array" ref="AT7">_xlfn.IFS(OR(AT$6="",AND(A7&gt;=DA$6,B7&gt;=DB$6),AND(A7&lt;DA$4,B7&lt;DB$4)),0,AND(A7=DA$4,DA$4&lt;=DB$4),AT$6,AND(B7=DB$4,DA$4&gt;=DB$4),AT$6,OR(A7&gt;DA$4,B7&gt;DB$4),AT6*(1+Setup!C$103))</f>
        <v>0</v>
      </c>
      <c r="AU7" s="1" cm="1">
        <f t="array" ref="AU7">_xlfn.IFS(OR(AU$6="",AND(A7&gt;=DA$6,B7&gt;=DB$6),AND(A7&lt;DA$4,B7&lt;DB$4)),0,AND(A7=DA$4,DA$4&lt;=DB$4),AU$6,AND(B7=DB$4,DA$4&gt;=DB$4),AU$6,OR(A7&gt;DA$4,B7&gt;DB$4),AU6*(1+Setup!C$103))</f>
        <v>0</v>
      </c>
      <c r="AV7" s="1" cm="1">
        <f t="array" ref="AV7">_xlfn.IFS(OR(AV$6="",AND(A7&gt;=DA$6,B7&gt;=DB$6),AND(A7&lt;DA$4,B7&lt;DB$4)),0,AND(A7=DA$4,DA$4&lt;=DB$4),AV$6,AND(B7=DB$4,DA$4&gt;=DB$4),AV$6,OR(A7&gt;DA$4,B7&gt;DB$4),AV6*(1+Setup!C$103))</f>
        <v>0</v>
      </c>
      <c r="AW7" s="1">
        <f t="shared" ref="AW7:AW38" si="8">SUM(AS7:AV7)</f>
        <v>0</v>
      </c>
      <c r="AY7" s="1" cm="1">
        <f t="array" ref="AY7">_xlfn.IFS(OR(AND(A7&gt;=DA$6,B7&gt;=DB$6),A7&lt;DA$5),0,AND(A7=DA$5,YEAR(C7)&gt;=Lookups!D$89),VLOOKUP(A7,Lookups!B$94:F$102,3),AND(A7=DA$5,YEAR(C7)&lt;Lookups!D$89),VLOOKUP(A7,Lookups!B$94:F$102,2),AND(A7&gt;DA$5,YEAR(C7)=Lookups!D$89),(AY6*Lookups!D$90)*(1+Lookups!C$20),AND(A7&gt;DA$5,YEAR(C7)&lt;&gt;Lookups!D$89),AY6*(1+Lookups!C$20))</f>
        <v>0</v>
      </c>
      <c r="AZ7" s="1" cm="1">
        <f t="array" ref="AZ7">_xlfn.IFS(OR(ISBLANK(Setup!K$91),Setup!K$91=0,AND(A7&gt;=DA$6,B7&gt;=DB$6),B7&lt;DB$5),0,AND(B7=DB$5,YEAR(C7)&gt;=Lookups!D$89),VLOOKUP(B7,Lookups!B$94:F$102,5),AND(B7=DB$5,YEAR(C7)&lt;Lookups!D$89),VLOOKUP(B7,Lookups!B$94:F$102,4),AND(B7&gt;DB$5,YEAR(C7)=Lookups!D$89),(AZ6*Lookups!D$90)*(1+Lookups!C$20),AND(B7&gt;DB$5,YEAR(C7)&lt;&gt;Lookups!D$89),AZ6*(1+Lookups!C$20))</f>
        <v>0</v>
      </c>
      <c r="BA7" s="65">
        <f>IF(OR(AY7&gt;0,AZ7&gt;0),(AY7+AZ7)*Lookups!D$120,0)</f>
        <v>0</v>
      </c>
      <c r="BB7" s="1" cm="1">
        <f t="array" ref="BB7">_xlfn.IFS(AND(A7&lt;DA$4,B7&lt;DB$4),0,OR(_xlfn.XOR(A7&gt;DA$6,B7&gt;DB$6),_xlfn.XOR(A7&gt;=DA$4,B7&gt;=DB$4)),IF(AP7-SUM(AW7,AY7:AZ7)&gt;0,AP7-SUM(AW7,AY7:AZ7),0),AQ7-SUM(AW7,AY7:AZ7)&gt;0, AQ7-SUM(AW7,AY7:AZ7),AQ7-SUM(AW7,AY7:AZ7)&lt;=0,0)</f>
        <v>0</v>
      </c>
      <c r="BD7" s="1" cm="1">
        <f t="array" ref="BD7">_xlfn.IFS(AND(A7&gt;=DA$6,B7&gt;=DB$6),0,AND(A7&gt;=DA$6,B7&gt;=Lookups!C$35),D7/VLOOKUP(B7,Lookups!C$37:D$67,2),A7&lt;Lookups!$C$35,0,A7&gt;=Lookups!C$35,D7/VLOOKUP(A7,Lookups!C$37:D$67,2))</f>
        <v>0</v>
      </c>
      <c r="BE7" s="1" cm="1">
        <f t="array" ref="BE7">_xlfn.IFS(AND(A7&gt;=DA$6,B7&gt;=DB$6),0,AND(B7&gt;=DB$6,A7&gt;=Lookups!C$35),F7/VLOOKUP(A7,Lookups!C$37:D$67,2),B7&lt;Lookups!$C$35,0,B7&gt;=Lookups!C$35,F7/VLOOKUP(B7,Lookups!C$37:D$67,2))</f>
        <v>0</v>
      </c>
      <c r="BF7" s="1" cm="1">
        <f t="array" ref="BF7">_xlfn.IFS($BB7&lt;=0,0,AND(A7&gt;=DA$4,B7&gt;=DB$4,$BB7*I7&lt;(BD7+BE7)),0,AND(A7&gt;=DA$4,B7&gt;=DB$4,H7&gt;=(BB7*I7)-BD7-BE7),(BB7*I7)-BD7-BE7,AND(A7&gt;=DA$4,B7&gt;=DB$4,H7&lt;(BB7*I7)-BD7-BE7),H7,AND(A7&gt;=DA$4,$BB7*I7&lt;(BD7)),0,AND(A7&gt;=DA$4,H7&gt;=(BB7*I7)-BD7),(BB7*I7)-BD7,AND(A7&gt;=DA$4,H7&lt;(BB7*I7)-BD7),H7,AND(B7&gt;=DB$4,$BB7*I7&lt;(BE7)),0,AND(B7&gt;=DB$4,H7&gt;=(BB7*I7)-BE7),(BB7*I7)-BE7,AND(B7&gt;=DB$4,H7&lt;(BB7*I7)-BE7),H7)</f>
        <v>0</v>
      </c>
      <c r="BG7" s="1">
        <f t="shared" ref="BG7:BG40" si="9">SUM(BD7:BF7)</f>
        <v>0</v>
      </c>
      <c r="BH7" s="1" cm="1">
        <f t="array" ref="BH7">_xlfn.IFS(OR(D7=0,A7&lt;DA$4),0,AND(A7&gt;=DA$4,B7&gt;=DB$4,D7&lt;BD7+($BF7*(D7/$H7))+(-$BP7*(D7/$H7))),D7,AND(A7&gt;=DA$4,B7&gt;=DB$4,$BB7&gt;$BG7),BD7+($BF7*(D7/$H7))+(-$BP7*(D7/$H7)),AND(A7&gt;=DA$4,B7&gt;=DB$4,OR(A7&gt;DA$6, B7&gt;DB$6),$AP7-SUM($AW7,$AY7:$AZ7)&lt;0),BD7+($BF7*(D7/$H7))+(-$BP7*(D7/$H7))+(BP7*(D7/$H7)),AND(A7&gt;=DA$4,B7&gt;=DB$4,$AQ7-SUM($AW7,$AY7:$AZ7)&lt;0),BD7+($BF7*(D7/$H7))+(-$BP7*(D7/$H7))+(BP7*(D7/$H7)),AND(A7&gt;=DA$4,D7&lt;BD7+$BF7-$BP7),D7,AND(A7&gt;=DA$4,$AP7-SUM($AW7,$AY7:$AZ7)&lt;0),BD7+($BF7*(D7/$H7))+(-$BP7*(D7/$H7))+(BP7*(D7/$H7)),A7&gt;=DA$4,BD7+$BF7-$BP7)</f>
        <v>0</v>
      </c>
      <c r="BI7" s="1" cm="1">
        <f t="array" ref="BI7">_xlfn.IFS(OR(F7=0,B7&lt;DB$4),0,AND(A7&gt;=DA$4,B7&gt;=DB$4,F7&lt;BE7+($BF7*(F7/$H7))+(-$BP7*(F7/$H7))),F7,AND(A7&gt;=DA$4,B7&gt;=DB$4,$BB7&gt;$BG7),BE7+($BF7*(F7/$H7))+(-$BP7*(F7/$H7)),AND(A7&gt;=DA$4,B7&gt;=DB$4,OR(A7&gt;DA$6, B7&gt;DB$6),$AP7-SUM($AW7,$AY7:$AZ7)&lt;0),BE7+($BF7*(F7/$H7))+(-$BP7*(F7/$H7))+(BP7*(F7/$H7)),AND(A7&gt;=DA$4,B7&gt;=DB$4,$AQ7-SUM($AW7,$AY7:$AZ7)&lt;0),BE7+($BF7*(F7/$H7))+(-$BP7*(F7/$H7))+(BP7*(F7/$H7)),AND(B7&gt;=DB$4,F7&lt;BE7+$BF7-$BP7),F7,AND(B7&gt;=DB$4,$AP7-SUM($AW7,$AY7:$AZ7)&lt;0),BE7+($BF7*(F7/$H7))+(-$BP7*(F7/$H7))+(BP7*(F7/$H7)),B7&gt;=DB$4,BE7+$BF7-$BP7)</f>
        <v>0</v>
      </c>
      <c r="BJ7" s="64" cm="1">
        <f t="array" ref="BJ7">IF(AW7+BA7+BG7&gt;0, AW7+BA7+BG7-_xlfn.IFS(AND(A7&gt;=65,B7&gt;=65),VLOOKUP(Setup!I$4,Lookups!C$133:F$136,4),OR(A7&gt;=65,B7&gt;=65),VLOOKUP(Setup!I$4,Lookups!C$133:E$136,3),AND(A7&lt;65,B7&lt;65),VLOOKUP(Setup!I$4,Lookups!C$133:D$136,2)),0)</f>
        <v>0</v>
      </c>
      <c r="BK7" s="1" cm="1">
        <f t="array" ref="BK7">IF(BJ7&gt;0,_xlfn.IFS(Setup!I$4=Lookups!D$109,-_xlfn.IFS($BJ7&gt;=Lookups!D$157, Lookups!F$157+($BJ7-Lookups!D$157)*Lookups!G$157,$BJ7&gt;=Lookups!D$156, Lookups!F$156+($BJ7-Lookups!D$156)*Lookups!G$156,$BJ7&gt;=Lookups!D$155, Lookups!F$155+($BJ7-Lookups!D$155)*Lookups!G$155,$BJ7&gt;=Lookups!D$154, Lookups!F$154+($BJ7-Lookups!D$154)*Lookups!G$154,$BJ7&gt;=Lookups!D$153, Lookups!F$153+($BJ7-Lookups!D$153)*Lookups!G$153,$BJ7&gt;=Lookups!D$152, Lookups!F$152+($BJ7-Lookups!D$152)*Lookups!G$152,$BJ7&lt;Lookups!D$152,$BJ7*Lookups!G$151),Setup!I$4=Lookups!D$110,-_xlfn.IFS($BJ7&gt;=Lookups!D$167, Lookups!F$167+($BJ7-Lookups!D$167)*Lookups!G$167,$BJ7&gt;=Lookups!D$166, Lookups!F$166+($BJ7-Lookups!D$166)*Lookups!G$166,$BJ7&gt;=Lookups!D$165, Lookups!F$165+($BJ7-Lookups!D$165)*Lookups!G$165,$BJ7&gt;=Lookups!D$164, Lookups!F$164+($BJ7-Lookups!D$164)*Lookups!G$164,$BJ7&gt;=Lookups!D$163, Lookups!F$163+($BJ7-Lookups!D$163)*Lookups!G$163,$BJ7&gt;=Lookups!D$162, Lookups!F$162+($BJ7-Lookups!D$162)*Lookups!G$162,$BJ7&lt;Lookups!D$162,$BJ7*Lookups!G$161),Setup!I$4=Lookups!D$111,-_xlfn.IFS($BJ7&gt;=Lookups!D$177, Lookups!F$177+($BJ7-Lookups!D$177)*Lookups!G$177,$BJ7&gt;=Lookups!D$176, Lookups!F$176+($BJ7-Lookups!D$176)*Lookups!G$176,$BJ7&gt;=Lookups!D$175, Lookups!F$175+($BJ7-Lookups!D$175)*Lookups!G$175,$BJ7&gt;=Lookups!D$174, Lookups!F$174+($BJ7-Lookups!D$174)*Lookups!G$174,$BJ7&gt;=Lookups!D$173, Lookups!F$173+($BJ7-Lookups!D$173)*Lookups!G$173,$BJ7&gt;=Lookups!D$172, Lookups!F$172+($BJ7-Lookups!D$172)*Lookups!G$172,$BJ7&lt;Lookups!D$172,$BJ7*Lookups!G$171), Setup!I$4=Lookups!D$112,-_xlfn.IFS($BJ7&gt;=Lookups!D$187, Lookups!F$187+($BJ7-Lookups!D$187)*Lookups!G$187,$BJ7&gt;=Lookups!D$186, Lookups!F$186+($BJ7-Lookups!D$186)*Lookups!G$186,$BJ7&gt;=Lookups!D$185, Lookups!F$185+($BJ7-Lookups!D$185)*Lookups!G$185,$BJ7&gt;=Lookups!D$184, Lookups!F$184+($BJ7-Lookups!D$184)*Lookups!G$184,$BJ7&gt;=Lookups!D$183, Lookups!F$183+($BJ7-Lookups!D$183)*Lookups!G$183,$BJ7&gt;=Lookups!D$182, Lookups!F$182+($BJ7-Lookups!D$182)*Lookups!G$182,$BJ7&lt;Lookups!D$182,$BJ7*Lookups!G$181)),0)</f>
        <v>0</v>
      </c>
      <c r="BL7" s="18">
        <f t="shared" ref="BL7:BL38" si="10">IF(BJ7=0,0,-BK7/BJ7)</f>
        <v>0</v>
      </c>
      <c r="BM7" s="134">
        <f>IF(BK7=0,0,(BK7*BL7^2)+(BK7*BL7^3)+(BK7*BL7^4)+(BK7*BL7^5)+(BK7*BL7^6)+(BK7*BL7^7)+(BK7*BL7^8)+(BK7*BL7^9)+(BK7*BL7^10))</f>
        <v>0</v>
      </c>
      <c r="BN7" s="134" cm="1">
        <f t="array" aca="1" ref="BN7" ca="1">INDIRECT(Setup!I$6&amp;"!"&amp;"A"&amp;ROW())</f>
        <v>0</v>
      </c>
      <c r="BO7" s="134">
        <f>IF(SUM(AW7,AY7:AZ7,BH7:BI7)-BG7+BP7&gt;0,0,SUM(AW7,BH7:BI7)-BG7+BP7)</f>
        <v>0</v>
      </c>
      <c r="BP7" s="1">
        <f t="shared" ref="BP7:BP38" si="11">IF(BJ7=0,0,BK7+BM7+BN7)</f>
        <v>0</v>
      </c>
      <c r="BQ7" s="1">
        <f>IF(AND(BH7=0,BI7=0),BB7-BP7,BB7-BG7)</f>
        <v>0</v>
      </c>
      <c r="BS7" s="1">
        <f t="shared" ref="BS7" si="12">IF(Y7=0,0,IF(BQ7&gt;0,IF(Y7&gt;=BQ7*(Y7/(AG7+Y7)),BQ7*(Y7/(AG7+Y7)),Y7),0))</f>
        <v>0</v>
      </c>
      <c r="BT7" s="1" cm="1">
        <f t="array" ref="BT7">-IF(BS7&gt;0,_xlfn.IFS((AW7+BA7+BG7+BS7)&gt;=VLOOKUP(Setup!I$4,Lookups!C$210:E$213,3),BS7*Lookups!D$203,(AW7+BA7+BG7+BS7)&gt;=VLOOKUP(Setup!I$4,Lookups!C$210:E$213,2),BS7*Lookups!D$197,(AW7+BA7+BG7+BS7)&lt;VLOOKUP(Setup!I$4,Lookups!C$210:E$213,2),0),0)</f>
        <v>0</v>
      </c>
      <c r="BU7" s="18">
        <f t="shared" ref="BU7" si="13">IF(BS7=0,0,-BT7/BS7)</f>
        <v>0</v>
      </c>
      <c r="BV7" s="1">
        <f t="shared" ref="BV7" si="14">IF(BT7=0,0,(BT7*BU7^2)+(BT7*BU7^3)+(BT7*BU7^4)+(BT7*BU7^5)+(BT7*BU7^6)+(BT7*BU7^7)+(BT7*BU7^8)+(BT7*BU7^9)+(BT7*BU7^10))</f>
        <v>0</v>
      </c>
      <c r="BW7" s="1" cm="1">
        <f t="array" aca="1" ref="BW7" ca="1">INDIRECT(Setup!I$6&amp;"!"&amp;"A"&amp;ROW()+100)</f>
        <v>0</v>
      </c>
      <c r="BX7" s="1">
        <f t="shared" ref="BX7:BX38" ca="1" si="15">BO7+BT7+BV7+BW7</f>
        <v>0</v>
      </c>
      <c r="BY7" s="1">
        <f t="shared" ref="BY7:BY38" ca="1" si="16">IF(Y7&gt;=BS7-BX7,BS7-BX7,Y7)</f>
        <v>0</v>
      </c>
      <c r="CA7" s="1">
        <f>IF(AG7=0,0,IF(BQ7&gt;0,IF(AG7&gt;=BQ7*(AG7/(AG7+Y7)),BQ7*(AG7/(AG7+Y7)),AG7),0))</f>
        <v>0</v>
      </c>
      <c r="CC7" s="1" cm="1">
        <f t="array" ref="CC7">_xlfn.IFS(AND(A7&lt;$DA$4,B7&lt;$DB$4),0,AND(AND(A7&gt;=$DA$4,B7&gt;=$DB$4),AND(A7&lt;=$DA$6,B7&lt;=$DB$6),AND(BH7=0,BI7=0)),SUM(AW7,AY7:AZ7,BD7:BF7,BP7,BS7,CA7)-AQ7,AND(AND(A7&gt;=$DA$4,B7&gt;=$DB$4),AND(A7&lt;=$DA$6,B7&lt;=$DB$6)),SUM(AW7,AY7:AZ7,BD7:BF7,BS7,CA7)-AQ7,AND(OR(A7&gt;=$DA$4,B7&gt;=$DB$4),AND(BH7=0,BI7=0)),SUM(AW7,AY7:AZ7,BD7:BF7,BP7,BS7,CA7)-AP7,OR(A7&gt;=$DA$4,B7&gt;=$DB$4),SUM(AW7,AY7:AZ7,BD7:BF7,BS7,CA7)-AP7)</f>
        <v>0</v>
      </c>
      <c r="CD7" s="142" t="str">
        <f>IF(OR(A7&gt;=DA$4,B7&gt;=DB$4),IF(CC7&lt;-1,"Under",IF(CC7&gt;1,"Over","")),"")</f>
        <v/>
      </c>
    </row>
    <row r="8" spans="1:112" ht="14.4" customHeight="1" x14ac:dyDescent="0.3">
      <c r="A8" s="354">
        <f>A7+1</f>
        <v>1</v>
      </c>
      <c r="B8" s="354">
        <f>B7+1</f>
        <v>1</v>
      </c>
      <c r="C8" s="359">
        <f>DATE(YEAR(C7)+1,1,1)</f>
        <v>367</v>
      </c>
      <c r="D8" s="326" cm="1">
        <f t="array" ref="D8">_xlfn.IFS(AND(A8&gt;DA$6,B8&gt;DB$6),0,AND(A8&gt;DA$3,A8&lt;=DA$4),D7*(1+DH$1),OR(A8&gt;DA$6,A8&gt;DA$4),(D7-BH7)*(1+DH$2),A8&lt;=DA$4,(D7*(1+DH$1))+(D$4))</f>
        <v>0</v>
      </c>
      <c r="E8" s="375"/>
      <c r="F8" s="326" cm="1">
        <f t="array" ref="F8">_xlfn.IFS(AND(A8&gt;DA$6,B8&gt;DB$6),0,AND(B8&gt;DB$3,B8&lt;=DB$4),F7*(1+DH$1),OR(B8&gt;DB$6,B8&gt;DB$4),(F7-BI7)*(1+DH$2),B8&lt;=DB$4,(F7*(1+DH$1))+(F$4))</f>
        <v>0</v>
      </c>
      <c r="G8" s="375"/>
      <c r="H8" s="1">
        <f t="shared" ref="H8:H41" si="17">SUM(D8,F8)</f>
        <v>0</v>
      </c>
      <c r="I8" s="2">
        <f t="shared" si="2"/>
        <v>0</v>
      </c>
      <c r="J8" s="14">
        <f t="shared" si="3"/>
        <v>0</v>
      </c>
      <c r="L8" s="402" cm="1">
        <f t="array" ref="L8">_xlfn.IFS(AND(A8&gt;DA$6,B8&gt;DB$6),0,A8&lt;DA$6,0,A8=DA$6,L$4,AND(A8&gt;DA$6,B8&lt;=DB$4),L7*(1+DH$1),AND(A8&gt;DA$6,B8&gt;DB$4),IF(Y7=0,0,(L7-((L7/Y7)*BY7))*(1+DH$2)))</f>
        <v>0</v>
      </c>
      <c r="M8" s="402" cm="1">
        <f t="array" ref="M8">_xlfn.IFS(AND(A8&gt;DA$6,B8&gt;DB$6),0,B8&lt;DB$6,0,B8=DB$6,M$4,AND(B8&gt;DB$6,A8&lt;=DA$4),M7*(1+DH$1),AND(A8&gt;DA$4,B8&gt;DB$6),IF(Y7=0,0,(M7-((M7/Y7)*BY7))*(1+DH$2)))</f>
        <v>0</v>
      </c>
      <c r="N8" s="327"/>
      <c r="O8" s="327" cm="1">
        <f t="array" ref="O8">_xlfn.IFS(OR(ISBLANK(Setup!C$63),Setup!C$63&gt;YEAR(C8),AND(A8&gt;DA$6,B8&gt;DB$6),ISBLANK(Y7)),0,Setup!C$63=YEAR(C8),Setup!C$62,AND(OR(A8&lt;=DA$4,B8&lt;=DB$4),Setup!C$63&lt;YEAR(C8)),O7*(1+DH$1),AND(A8&gt;DA$4,B8&gt;DB$4,Setup!C$63&lt;YEAR(C8)),IF(Y7=0,0,(O7-((O7/Y7)*BY7))*(1+DH$2)))</f>
        <v>0</v>
      </c>
      <c r="P8" s="327" cm="1">
        <f t="array" ref="P8">_xlfn.IFS(OR(ISBLANK(Setup!C$67),Setup!C$67&gt;YEAR(C8),AND(A8&gt;DA$6,B8&gt;DB$6)),0,Setup!C$67=YEAR(C8),Setup!C$66,AND(OR(A8&lt;=DA$4,B8&lt;=DB$4),Setup!C$67&lt;YEAR(C8)),P7*(1+DH$1),AND(A8&gt;DA$4,B8&gt;DB$4,Setup!C$67&lt;YEAR(C8)),IF(Y7=0,0,(P7-((P7/Y7)*BY7))*(1+DH$2)))</f>
        <v>0</v>
      </c>
      <c r="Q8" s="327" cm="1">
        <f t="array" ref="Q8">_xlfn.IFS(OR(ISBLANK(Setup!C$71),Setup!C$71&gt;YEAR(C8),AND(A8&gt;DA$6,B8&gt;DB$6)),0,Setup!C$71=YEAR(C8),Setup!C$70,AND(OR(A8&lt;=DA$4,B8&lt;=DB$4),Setup!C$71&lt;YEAR(C8)),Q7*(1+DH$1),AND(A8&gt;DA$4,B8&gt;DB$4,Setup!C$71&lt;YEAR(C8)),IF(Y7=0,0,(Q7-((Q7/Y7)*BY7))*(1+DH$2)))</f>
        <v>0</v>
      </c>
      <c r="R8" s="327" cm="1">
        <f t="array" ref="R8">_xlfn.IFS(OR(ISBLANK(Setup!C$75),Setup!C$75&gt;YEAR(C8),AND(A8&gt;DA$6,B8&gt;DB$6)),0,Setup!C$75=YEAR(C8),Setup!C$74,AND(OR(A8&lt;=DA$4,B8&lt;=DB$4),Setup!C$75&lt;YEAR(C8)),R7*(1+DH$1),AND(A8&gt;DA$4,B8&gt;DB$4,Setup!C$75&lt;YEAR(C8)),IF(Y7=0,0,(R7-((R7/Y7)*BY7))*(1+DH$2)))</f>
        <v>0</v>
      </c>
      <c r="S8" s="327"/>
      <c r="T8" s="326" cm="1">
        <f t="array" ref="T8">_xlfn.IFS(AND($A8&gt;$DA$6,$B8&gt;$DB$6),0,AND($W$2=$DA$2,$A8&gt;$DA$4),IF($Y7=0,0,(T7-((T7/$Y7)*$BY7))*(1+$DH$2)),AND($W$2=$DB$2,$B8&gt;$DB$4),IF($Y7=0,0,(T7-((T7/$Y7)*$BY7))*(1+$DH$2)),AND($W$2=$DA$2,OR($A8&gt;$DA$3,$A8&gt;$DA$6)),(T7*(1+$DH$1)),AND($W$2=$DB$2,OR($B8&gt;$DB$3,$B8&gt;$DB$6)),(T7*(1+$DH$1)),AND($W$2=$DA$2,$A8&lt;=$DA$3,$A8&lt;=$DA$4,$A8&lt;=$DA$5),(T7*(1+$DH$1))+(T$4),AND($W$2=$DB$2,$B8&lt;=$DB$3,$B8&lt;=$DB$4,$B8&lt;=$DB$5),(T7*(1+$DH$1))+(T$4))</f>
        <v>0</v>
      </c>
      <c r="U8" s="326" cm="1">
        <f t="array" ref="U8">_xlfn.IFS(AND($A8&gt;$DA$6,$B8&gt;$DB$6),0,AND($W$2=$DA$2,$A8&gt;$DA$4),IF($Y7=0,0,(U7-((U7/$Y7)*$BY7))*(1+$DH$2)),AND($W$2=$DB$2,$B8&gt;$DB$4),IF($Y7=0,0,(U7-((U7/$Y7)*$BY7))*(1+$DH$2)),AND($W$2=$DA$2,OR($A8&gt;$DA$3,$A8&gt;$DA$6)),(U7*(1+$DH$1)),AND($W$2=$DB$2,OR($B8&gt;$DB$3,$B8&gt;$DB$6)),(U7*(1+$DH$1)),AND($W$2=$DA$2,$A8&lt;=$DA$3,$A8&lt;=$DA$4,$A8&lt;=$DA$5),(U7*(1+$DH$1))+(U$4),AND($W$2=$DB$2,$B8&lt;=$DB$3,$B8&lt;=$DB$4,$B8&lt;=$DB$5),(U7*(1+$DH$1))+(U$4))</f>
        <v>0</v>
      </c>
      <c r="V8" s="326" cm="1">
        <f t="array" ref="V8">_xlfn.IFS(AND($A8&gt;$DA$6,$B8&gt;$DB$6),0,AND($W$2=$DA$2,$A8&gt;$DA$4),IF($Y7=0,0,(V7-((V7/$Y7)*$BY7))*(1+$DH$2)),AND($W$2=$DB$2,$B8&gt;$DB$4),IF($Y7=0,0,(V7-((V7/$Y7)*$BY7))*(1+$DH$2)),AND($W$2=$DA$2,OR($A8&gt;$DA$3,$A8&gt;$DA$6)),(V7*(1+$DH$1)),AND($W$2=$DB$2,OR($B8&gt;$DB$3,$B8&gt;$DB$6)),(V7*(1+$DH$1)),AND($W$2=$DA$2,$A8&lt;=$DA$3,$A8&lt;=$DA$4,$A8&lt;=$DA$5),(V7*(1+$DH$1))+(V$4),AND($W$2=$DB$2,$B8&lt;=$DB$3,$B8&lt;=$DB$4,$B8&lt;=$DB$5),(V7*(1+$DH$1))+(V$4))</f>
        <v>0</v>
      </c>
      <c r="W8" s="326" cm="1">
        <f t="array" ref="W8">_xlfn.IFS(AND($A8&gt;$DA$6,$B8&gt;$DB$6),0,AND($W$2=$DA$2,$A8&gt;$DA$4),IF($Y7=0,0,(W7-((W7/$Y7)*$BY7))*(1+$DH$2)),AND($W$2=$DB$2,$B8&gt;$DB$4),IF($Y7=0,0,(W7-((W7/$Y7)*$BY7))*(1+$DH$2)),AND($W$2=$DA$2,OR($A8&gt;$DA$3,$A8&gt;$DA$6)),(W7*(1+$DH$1)),AND($W$2=$DB$2,OR($B8&gt;$DB$3,$B8&gt;$DB$6)),(W7*(1+$DH$1)),AND($W$2=$DA$2,$A8&lt;=$DA$3,$A8&lt;=$DA$4,$A8&lt;=$DA$5),(W7*(1+$DH$1))+(W$4),AND($W$2=$DB$2,$B8&lt;=$DB$3,$B8&lt;=$DB$4,$B8&lt;=$DB$5),(W7*(1+$DH$1))+(W$4))</f>
        <v>0</v>
      </c>
      <c r="Y8" s="1">
        <f t="shared" ref="Y8:Y39" si="18">SUM(L8:W8)</f>
        <v>0</v>
      </c>
      <c r="Z8" s="2">
        <f t="shared" ref="Z8:Z38" si="19">IF($AK8=0,0,Y8/$AK8)</f>
        <v>0</v>
      </c>
      <c r="AA8" s="375"/>
      <c r="AC8" s="326" cm="1">
        <f t="array" ref="AC8">_xlfn.IFS(AND(A8&gt;DA$6,B8&gt;DB$6),0,AND(A8&gt;DA$4,B8&gt;DB$4),IF(AG7=0,0,(AC7-((AC7/AG7)*CA7))*(1+DH$2)),OR(A8&gt;DA$3,A8&gt;DA$6),AC7*(1+DH$1),A8&gt;DA$4,(AC7-CA7)*(1+DH$2),AND(A8&lt;=DA$3,A8&lt;=DA$4,A8&lt;=DA$6),(AC7*(1+DH$1))+(AC$4))</f>
        <v>0</v>
      </c>
      <c r="AD8" s="375"/>
      <c r="AE8" s="326" cm="1">
        <f t="array" ref="AE8">_xlfn.IFS(AND(A8&gt;DA$6,B8&gt;DB$6),0,AND(A8&gt;DA$4,B8&gt;DB$4),IF(AG7=0,0,(AE7-((AE7/AG7)*CA7))*(1+DH$2)),OR(B8&gt;DB$3,B8&gt;DB$6),AE7*(1+DH$1),B8&gt;DB$4,(AE7-CA7)*(1+DH$2),AND(B8&lt;=DB$3,B8&lt;=DB$4,B8&lt;=DB$6),(AE7*(1+DH$1))+(AE$4))</f>
        <v>0</v>
      </c>
      <c r="AF8" s="375"/>
      <c r="AG8" s="1">
        <f t="shared" si="5"/>
        <v>0</v>
      </c>
      <c r="AH8" s="2">
        <f t="shared" ref="AH8:AH39" si="20">IF(AK8=0,0,AG8/AK8)</f>
        <v>0</v>
      </c>
      <c r="AI8" s="14">
        <f t="shared" si="6"/>
        <v>0</v>
      </c>
      <c r="AK8" s="1">
        <f t="shared" ref="AK8:AK39" si="21">AG8+H8+Y8</f>
        <v>0</v>
      </c>
      <c r="AL8" s="14">
        <f t="shared" ref="AL8:AL38" si="22">AI8+J8+AA8</f>
        <v>0</v>
      </c>
      <c r="AM8" s="14" t="str">
        <f t="shared" ref="AM8:AM71" si="23">IF(AL8&gt;0,AK8-AL8,"")</f>
        <v/>
      </c>
      <c r="AO8" s="15">
        <f>IF(AK8=0,0,(BH8+BI8+BY8+CA8)/AK8)</f>
        <v>0</v>
      </c>
      <c r="AP8" s="1">
        <f>IF(AND(B8&gt;=$DB$6,A8&gt;=$DA$6),0,AP7*(1+Lookups!C$12))</f>
        <v>0</v>
      </c>
      <c r="AQ8" s="1">
        <f>IF(AND(B8&gt;=$DB$6,A8&gt;=$DA$6),0,AQ7*(1+Lookups!C$12))</f>
        <v>0</v>
      </c>
      <c r="AS8" s="1" cm="1">
        <f t="array" ref="AS8">_xlfn.IFS(OR(AS$6="",AND(A8&gt;=DA$6,B8&gt;=DB$6),AND(A8&lt;DA$4,B8&lt;DB$4)),0,AND(A8=DA$4,DA$4&lt;=DB$4),AS$6,AND(B8=DB$4,DA$4&gt;=DB$4),AS$6,OR(A8&gt;DA$4,B8&gt;DB$4),AS7*(1+Setup!C$103))</f>
        <v>0</v>
      </c>
      <c r="AT8" s="1" cm="1">
        <f t="array" ref="AT8">_xlfn.IFS(OR(AT$6="",AND(A8&gt;=DA$6,B8&gt;=DB$6),AND(A8&lt;DA$4,B8&lt;DB$4)),0,AND(A8=DA$4,DA$4&lt;=DB$4),AT$6,AND(B8=DB$4,DA$4&gt;=DB$4),AT$6,OR(A8&gt;DA$4,B8&gt;DB$4),AT7*(1+Setup!C$103))</f>
        <v>0</v>
      </c>
      <c r="AU8" s="1" cm="1">
        <f t="array" ref="AU8">_xlfn.IFS(OR(AU$6="",AND(A8&gt;=DA$6,B8&gt;=DB$6),AND(A8&lt;DA$4,B8&lt;DB$4)),0,AND(A8=DA$4,DA$4&lt;=DB$4),AU$6,AND(B8=DB$4,DA$4&gt;=DB$4),AU$6,OR(A8&gt;DA$4,B8&gt;DB$4),AU7*(1+Setup!C$103))</f>
        <v>0</v>
      </c>
      <c r="AV8" s="1" cm="1">
        <f t="array" ref="AV8">_xlfn.IFS(OR(AV$6="",AND(A8&gt;=DA$6,B8&gt;=DB$6),AND(A8&lt;DA$4,B8&lt;DB$4)),0,AND(A8=DA$4,DA$4&lt;=DB$4),AV$6,AND(B8=DB$4,DA$4&gt;=DB$4),AV$6,OR(A8&gt;DA$4,B8&gt;DB$4),AV7*(1+Setup!C$103))</f>
        <v>0</v>
      </c>
      <c r="AW8" s="1">
        <f t="shared" si="8"/>
        <v>0</v>
      </c>
      <c r="AY8" s="1" cm="1">
        <f t="array" ref="AY8">_xlfn.IFS(OR(AND(A8&gt;=DA$6,B8&gt;=DB$6),A8&lt;DA$5),0,AND(A8=DA$5,YEAR(C8)&gt;=Lookups!D$89),VLOOKUP(A8,Lookups!B$94:F$102,3),AND(A8=DA$5,YEAR(C8)&lt;Lookups!D$89),VLOOKUP(A8,Lookups!B$94:F$102,2),AND(A8&gt;DA$5,YEAR(C8)=Lookups!D$89),(AY7*Lookups!D$90)*(1+Lookups!C$20),AND(A8&gt;DA$5,YEAR(C8)&lt;&gt;Lookups!D$89),AY7*(1+Lookups!C$20))</f>
        <v>0</v>
      </c>
      <c r="AZ8" s="1" cm="1">
        <f t="array" ref="AZ8">_xlfn.IFS(OR(ISBLANK(Setup!K$91),Setup!K$91=0,AND(A8&gt;=DA$6,B8&gt;=DB$6),B8&lt;DB$5),0,AND(B8=DB$5,YEAR(C8)&gt;=Lookups!D$89),VLOOKUP(B8,Lookups!B$94:F$102,5),AND(B8=DB$5,YEAR(C8)&lt;Lookups!D$89),VLOOKUP(B8,Lookups!B$94:F$102,4),AND(B8&gt;DB$5,YEAR(C8)=Lookups!D$89),(AZ7*Lookups!D$90)*(1+Lookups!C$20),AND(B8&gt;DB$5,YEAR(C8)&lt;&gt;Lookups!D$89),AZ7*(1+Lookups!C$20))</f>
        <v>0</v>
      </c>
      <c r="BA8" s="65">
        <f>IF(OR(AY8&gt;0,AZ8&gt;0),(AY8+AZ8)*Lookups!D$120,0)</f>
        <v>0</v>
      </c>
      <c r="BB8" s="1" cm="1">
        <f t="array" ref="BB8">_xlfn.IFS(AND(A8&lt;DA$4,B8&lt;DB$4),0,OR(_xlfn.XOR(A8&gt;DA$6,B8&gt;DB$6),_xlfn.XOR(A8&gt;=DA$4,B8&gt;=DB$4)),IF(AP8-SUM(AW8,AY8:AZ8)&gt;0,AP8-SUM(AW8,AY8:AZ8),0),AQ8-SUM(AW8,AY8:AZ8)&gt;0, AQ8-SUM(AW8,AY8:AZ8),AQ8-SUM(AW8,AY8:AZ8)&lt;=0,0)</f>
        <v>0</v>
      </c>
      <c r="BD8" s="1" cm="1">
        <f t="array" ref="BD8">_xlfn.IFS(AND(A8&gt;=DA$6,B8&gt;=DB$6),0,AND(A8&gt;=DA$6,B8&gt;=Lookups!C$35),D8/VLOOKUP(B8,Lookups!C$37:D$67,2),A8&lt;Lookups!$C$35,0,A8&gt;=Lookups!C$35,D8/VLOOKUP(A8,Lookups!C$37:D$67,2))</f>
        <v>0</v>
      </c>
      <c r="BE8" s="1" cm="1">
        <f t="array" ref="BE8">_xlfn.IFS(AND(A8&gt;=DA$6,B8&gt;=DB$6),0,AND(B8&gt;=DB$6,A8&gt;=Lookups!C$35),F8/VLOOKUP(A8,Lookups!C$37:D$67,2),B8&lt;Lookups!$C$35,0,B8&gt;=Lookups!C$35,F8/VLOOKUP(B8,Lookups!C$37:D$67,2))</f>
        <v>0</v>
      </c>
      <c r="BF8" s="1" cm="1">
        <f t="array" ref="BF8">_xlfn.IFS($BB8&lt;=0,0,AND(A8&gt;=DA$4,B8&gt;=DB$4,$BB8*I8&lt;(BD8+BE8)),0,AND(A8&gt;=DA$4,B8&gt;=DB$4,H8&gt;=(BB8*I8)-BD8-BE8),(BB8*I8)-BD8-BE8,AND(A8&gt;=DA$4,B8&gt;=DB$4,H8&lt;(BB8*I8)-BD8-BE8),H8,AND(A8&gt;=DA$4,$BB8*I8&lt;(BD8)),0,AND(A8&gt;=DA$4,H8&gt;=(BB8*I8)-BD8),(BB8*I8)-BD8,AND(A8&gt;=DA$4,H8&lt;(BB8*I8)-BD8),H8,AND(B8&gt;=DB$4,$BB8*I8&lt;(BE8)),0,AND(B8&gt;=DB$4,H8&gt;=(BB8*I8)-BE8),(BB8*I8)-BE8,AND(B8&gt;=DB$4,H8&lt;(BB8*I8)-BE8),H8)</f>
        <v>0</v>
      </c>
      <c r="BG8" s="1">
        <f t="shared" si="9"/>
        <v>0</v>
      </c>
      <c r="BH8" s="1" cm="1">
        <f t="array" ref="BH8">_xlfn.IFS(OR(D8=0,A8&lt;DA$4),0,AND(A8&gt;=DA$4,B8&gt;=DB$4,D8&lt;BD8+($BF8*(D8/$H8))+(-$BP8*(D8/$H8))),D8,AND(A8&gt;=DA$4,B8&gt;=DB$4,$BB8&gt;$BG8),BD8+($BF8*(D8/$H8))+(-$BP8*(D8/$H8)),AND(A8&gt;=DA$4,B8&gt;=DB$4,OR(A8&gt;DA$6, B8&gt;DB$6),$AP8-SUM($AW8,$AY8:$AZ8)&lt;0),BD8+($BF8*(D8/$H8))+(-$BP8*(D8/$H8))+(BP8*(D8/$H8)),AND(A8&gt;=DA$4,B8&gt;=DB$4,$AQ8-SUM($AW8,$AY8:$AZ8)&lt;0),BD8+($BF8*(D8/$H8))+(-$BP8*(D8/$H8))+(BP8*(D8/$H8)),AND(A8&gt;=DA$4,D8&lt;BD8+$BF8-$BP8),D8,AND(A8&gt;=DA$4,$AP8-SUM($AW8,$AY8:$AZ8)&lt;0),BD8+($BF8*(D8/$H8))+(-$BP8*(D8/$H8))+(BP8*(D8/$H8)),A8&gt;=DA$4,BD8+$BF8-$BP8)</f>
        <v>0</v>
      </c>
      <c r="BI8" s="1" cm="1">
        <f t="array" ref="BI8">_xlfn.IFS(OR(F8=0,B8&lt;DB$4),0,AND(A8&gt;=DA$4,B8&gt;=DB$4,F8&lt;BE8+($BF8*(F8/$H8))+(-$BP8*(F8/$H8))),F8,AND(A8&gt;=DA$4,B8&gt;=DB$4,$BB8&gt;$BG8),BE8+($BF8*(F8/$H8))+(-$BP8*(F8/$H8)),AND(A8&gt;=DA$4,B8&gt;=DB$4,OR(A8&gt;DA$6, B8&gt;DB$6),$AP8-SUM($AW8,$AY8:$AZ8)&lt;0),BE8+($BF8*(F8/$H8))+(-$BP8*(F8/$H8))+(BP8*(F8/$H8)),AND(A8&gt;=DA$4,B8&gt;=DB$4,$AQ8-SUM($AW8,$AY8:$AZ8)&lt;0),BE8+($BF8*(F8/$H8))+(-$BP8*(F8/$H8))+(BP8*(F8/$H8)),AND(B8&gt;=DB$4,F8&lt;BE8+$BF8-$BP8),F8,AND(B8&gt;=DB$4,$AP8-SUM($AW8,$AY8:$AZ8)&lt;0),BE8+($BF8*(F8/$H8))+(-$BP8*(F8/$H8))+(BP8*(F8/$H8)),B8&gt;=DB$4,BE8+$BF8-$BP8)</f>
        <v>0</v>
      </c>
      <c r="BJ8" s="64" cm="1">
        <f t="array" ref="BJ8">IF(AW8+BA8+BG8&gt;0, AW8+BA8+BG8-_xlfn.IFS(AND(A8&gt;=65,B8&gt;=65),VLOOKUP(Setup!I$4,Lookups!C$133:F$136,4),OR(A8&gt;=65,B8&gt;=65),VLOOKUP(Setup!I$4,Lookups!C$133:E$136,3),AND(A8&lt;65,B8&lt;65),VLOOKUP(Setup!I$4,Lookups!C$133:D$136,2)),0)</f>
        <v>0</v>
      </c>
      <c r="BK8" s="1" cm="1">
        <f t="array" ref="BK8">IF(BJ8&gt;0,_xlfn.IFS(Setup!I$4=Lookups!D$109,-_xlfn.IFS($BJ8&gt;=Lookups!D$157, Lookups!F$157+($BJ8-Lookups!D$157)*Lookups!G$157,$BJ8&gt;=Lookups!D$156, Lookups!F$156+($BJ8-Lookups!D$156)*Lookups!G$156,$BJ8&gt;=Lookups!D$155, Lookups!F$155+($BJ8-Lookups!D$155)*Lookups!G$155,$BJ8&gt;=Lookups!D$154, Lookups!F$154+($BJ8-Lookups!D$154)*Lookups!G$154,$BJ8&gt;=Lookups!D$153, Lookups!F$153+($BJ8-Lookups!D$153)*Lookups!G$153,$BJ8&gt;=Lookups!D$152, Lookups!F$152+($BJ8-Lookups!D$152)*Lookups!G$152,$BJ8&lt;Lookups!D$152,$BJ8*Lookups!G$151),Setup!I$4=Lookups!D$110,-_xlfn.IFS($BJ8&gt;=Lookups!D$167, Lookups!F$167+($BJ8-Lookups!D$167)*Lookups!G$167,$BJ8&gt;=Lookups!D$166, Lookups!F$166+($BJ8-Lookups!D$166)*Lookups!G$166,$BJ8&gt;=Lookups!D$165, Lookups!F$165+($BJ8-Lookups!D$165)*Lookups!G$165,$BJ8&gt;=Lookups!D$164, Lookups!F$164+($BJ8-Lookups!D$164)*Lookups!G$164,$BJ8&gt;=Lookups!D$163, Lookups!F$163+($BJ8-Lookups!D$163)*Lookups!G$163,$BJ8&gt;=Lookups!D$162, Lookups!F$162+($BJ8-Lookups!D$162)*Lookups!G$162,$BJ8&lt;Lookups!D$162,$BJ8*Lookups!G$161),Setup!I$4=Lookups!D$111,-_xlfn.IFS($BJ8&gt;=Lookups!D$177, Lookups!F$177+($BJ8-Lookups!D$177)*Lookups!G$177,$BJ8&gt;=Lookups!D$176, Lookups!F$176+($BJ8-Lookups!D$176)*Lookups!G$176,$BJ8&gt;=Lookups!D$175, Lookups!F$175+($BJ8-Lookups!D$175)*Lookups!G$175,$BJ8&gt;=Lookups!D$174, Lookups!F$174+($BJ8-Lookups!D$174)*Lookups!G$174,$BJ8&gt;=Lookups!D$173, Lookups!F$173+($BJ8-Lookups!D$173)*Lookups!G$173,$BJ8&gt;=Lookups!D$172, Lookups!F$172+($BJ8-Lookups!D$172)*Lookups!G$172,$BJ8&lt;Lookups!D$172,$BJ8*Lookups!G$171), Setup!I$4=Lookups!D$112,-_xlfn.IFS($BJ8&gt;=Lookups!D$187, Lookups!F$187+($BJ8-Lookups!D$187)*Lookups!G$187,$BJ8&gt;=Lookups!D$186, Lookups!F$186+($BJ8-Lookups!D$186)*Lookups!G$186,$BJ8&gt;=Lookups!D$185, Lookups!F$185+($BJ8-Lookups!D$185)*Lookups!G$185,$BJ8&gt;=Lookups!D$184, Lookups!F$184+($BJ8-Lookups!D$184)*Lookups!G$184,$BJ8&gt;=Lookups!D$183, Lookups!F$183+($BJ8-Lookups!D$183)*Lookups!G$183,$BJ8&gt;=Lookups!D$182, Lookups!F$182+($BJ8-Lookups!D$182)*Lookups!G$182,$BJ8&lt;Lookups!D$182,$BJ8*Lookups!G$181)),0)</f>
        <v>0</v>
      </c>
      <c r="BL8" s="18">
        <f t="shared" si="10"/>
        <v>0</v>
      </c>
      <c r="BM8" s="134">
        <f t="shared" ref="BM8:BM40" si="24">IF(BK8=0,0,(BK8*BL8^2)+(BK8*BL8^3)+(BK8*BL8^4)+(BK8*BL8^5)+(BK8*BL8^6)+(BK8*BL8^7)+(BK8*BL8^8)+(BK8*BL8^9)+(BK8*BL8^10))</f>
        <v>0</v>
      </c>
      <c r="BN8" s="134" cm="1">
        <f t="array" aca="1" ref="BN8" ca="1">INDIRECT(Setup!I$6&amp;"!"&amp;"A"&amp;ROW())</f>
        <v>0</v>
      </c>
      <c r="BO8" s="134">
        <f t="shared" ref="BO8:BO71" si="25">IF(SUM(AW8,AY8:AZ8,BH8:BI8)-BG8+BP8&gt;0,0,SUM(AW8,BH8:BI8)-BG8+BP8)</f>
        <v>0</v>
      </c>
      <c r="BP8" s="1">
        <f t="shared" si="11"/>
        <v>0</v>
      </c>
      <c r="BQ8" s="1">
        <f t="shared" ref="BQ8:BQ71" si="26">IF(AND(BH8=0,BI8=0),BB8-BP8,BB8-BG8)</f>
        <v>0</v>
      </c>
      <c r="BS8" s="1">
        <f t="shared" ref="BS8:BS39" si="27">IF(Y8=0,0,IF(BQ8&gt;0,IF(Y8&gt;=BQ8*(Y8/(AG8+Y8)),BQ8*(Y8/(AG8+Y8)),Y8),0))</f>
        <v>0</v>
      </c>
      <c r="BT8" s="1" cm="1">
        <f t="array" ref="BT8">-IF(BS8&gt;0,_xlfn.IFS((AW8+BA8+BG8+BS8)&gt;=VLOOKUP(Setup!I$4,Lookups!C$210:E$213,3),BS8*Lookups!D$203,(AW8+BA8+BG8+BS8)&gt;=VLOOKUP(Setup!I$4,Lookups!C$210:E$213,2),BS8*Lookups!D$197,(AW8+BA8+BG8+BS8)&lt;VLOOKUP(Setup!I$4,Lookups!C$210:E$213,2),0),0)</f>
        <v>0</v>
      </c>
      <c r="BU8" s="18">
        <f t="shared" ref="BU8:BU39" si="28">IF(BS8=0,0,-BT8/BS8)</f>
        <v>0</v>
      </c>
      <c r="BV8" s="1">
        <f t="shared" ref="BV8:BV39" si="29">IF(BT8=0,0,(BT8*BU8^2)+(BT8*BU8^3)+(BT8*BU8^4)+(BT8*BU8^5)+(BT8*BU8^6)+(BT8*BU8^7)+(BT8*BU8^8)+(BT8*BU8^9)+(BT8*BU8^10))</f>
        <v>0</v>
      </c>
      <c r="BW8" s="1" cm="1">
        <f t="array" aca="1" ref="BW8" ca="1">INDIRECT(Setup!I$6&amp;"!"&amp;"A"&amp;ROW()+100)</f>
        <v>0</v>
      </c>
      <c r="BX8" s="1">
        <f t="shared" ca="1" si="15"/>
        <v>0</v>
      </c>
      <c r="BY8" s="1">
        <f t="shared" ca="1" si="16"/>
        <v>0</v>
      </c>
      <c r="CA8" s="1">
        <f>IF(AG8=0,0,IF(BQ8&gt;0,IF(AG8&gt;=BQ8*(AG8/(AG8+Y8)),BQ8*(AG8/(AG8+Y8)),AG8),0))</f>
        <v>0</v>
      </c>
      <c r="CC8" s="1" cm="1">
        <f t="array" ref="CC8">_xlfn.IFS(AND(A8&lt;$DA$4,B8&lt;$DB$4),0,AND(AND(A8&gt;=$DA$4,B8&gt;=$DB$4),AND(A8&lt;=$DA$6,B8&lt;=$DB$6),AND(BH8=0,BI8=0)),SUM(AW8,AY8:AZ8,BD8:BF8,BP8,BS8,CA8)-AQ8,AND(AND(A8&gt;=$DA$4,B8&gt;=$DB$4),AND(A8&lt;=$DA$6,B8&lt;=$DB$6)),SUM(AW8,AY8:AZ8,BD8:BF8,BS8,CA8)-AQ8,AND(OR(A8&gt;=$DA$4,B8&gt;=$DB$4),AND(BH8=0,BI8=0)),SUM(AW8,AY8:AZ8,BD8:BF8,BP8,BS8,CA8)-AP8,OR(A8&gt;=$DA$4,B8&gt;=$DB$4),SUM(AW8,AY8:AZ8,BD8:BF8,BS8,CA8)-AP8)</f>
        <v>0</v>
      </c>
      <c r="CD8" s="142" t="str">
        <f t="shared" ref="CD8:CD71" si="30">IF(OR(A8&gt;=DA$4,B8&gt;=DB$4),IF(CC8&lt;-1,"Under",IF(CC8&gt;1,"Over","")),"")</f>
        <v/>
      </c>
    </row>
    <row r="9" spans="1:112" ht="14.4" customHeight="1" x14ac:dyDescent="0.3">
      <c r="A9" s="354">
        <f t="shared" ref="A9:A51" si="31">A8+1</f>
        <v>2</v>
      </c>
      <c r="B9" s="354">
        <f t="shared" ref="B9:B51" si="32">B8+1</f>
        <v>2</v>
      </c>
      <c r="C9" s="359">
        <f t="shared" ref="C9:C72" si="33">DATE(YEAR(C8)+1,1,1)</f>
        <v>732</v>
      </c>
      <c r="D9" s="326" cm="1">
        <f t="array" ref="D9">_xlfn.IFS(AND(A9&gt;DA$6,B9&gt;DB$6),0,AND(A9&gt;DA$3,A9&lt;=DA$4),D8*(1+DH$1),OR(A9&gt;DA$6,A9&gt;DA$4),(D8-BH8)*(1+DH$2),A9&lt;=DA$4,(D8*(1+DH$1))+(D$4))</f>
        <v>0</v>
      </c>
      <c r="E9" s="375"/>
      <c r="F9" s="326" cm="1">
        <f t="array" ref="F9">_xlfn.IFS(AND(A9&gt;DA$6,B9&gt;DB$6),0,AND(B9&gt;DB$3,B9&lt;=DB$4),F8*(1+DH$1),OR(B9&gt;DB$6,B9&gt;DB$4),(F8-BI8)*(1+DH$2),B9&lt;=DB$4,(F8*(1+DH$1))+(F$4))</f>
        <v>0</v>
      </c>
      <c r="G9" s="375"/>
      <c r="H9" s="1">
        <f t="shared" si="17"/>
        <v>0</v>
      </c>
      <c r="I9" s="2">
        <f t="shared" si="2"/>
        <v>0</v>
      </c>
      <c r="J9" s="14">
        <f t="shared" si="3"/>
        <v>0</v>
      </c>
      <c r="L9" s="402" cm="1">
        <f t="array" ref="L9">_xlfn.IFS(AND(A9&gt;DA$6,B9&gt;DB$6),0,A9&lt;DA$6,0,A9=DA$6,L$4,AND(A9&gt;DA$6,B9&lt;=DB$4),L8*(1+DH$1),AND(A9&gt;DA$6,B9&gt;DB$4),IF(Y8=0,0,(L8-((L8/Y8)*BY8))*(1+DH$2)))</f>
        <v>0</v>
      </c>
      <c r="M9" s="402" cm="1">
        <f t="array" ref="M9">_xlfn.IFS(AND(A9&gt;DA$6,B9&gt;DB$6),0,B9&lt;DB$6,0,B9=DB$6,M$4,AND(B9&gt;DB$6,A9&lt;=DA$4),M8*(1+DH$1),AND(A9&gt;DA$4,B9&gt;DB$6),IF(Y8=0,0,(M8-((M8/Y8)*BY8))*(1+DH$2)))</f>
        <v>0</v>
      </c>
      <c r="N9" s="327"/>
      <c r="O9" s="327" cm="1">
        <f t="array" ref="O9">_xlfn.IFS(OR(ISBLANK(Setup!C$63),Setup!C$63&gt;YEAR(C9),AND(A9&gt;DA$6,B9&gt;DB$6),ISBLANK(Y8)),0,Setup!C$63=YEAR(C9),Setup!C$62,AND(OR(A9&lt;=DA$4,B9&lt;=DB$4),Setup!C$63&lt;YEAR(C9)),O8*(1+DH$1),AND(A9&gt;DA$4,B9&gt;DB$4,Setup!C$63&lt;YEAR(C9)),IF(Y8=0,0,(O8-((O8/Y8)*BY8))*(1+DH$2)))</f>
        <v>0</v>
      </c>
      <c r="P9" s="327" cm="1">
        <f t="array" ref="P9">_xlfn.IFS(OR(ISBLANK(Setup!C$67),Setup!C$67&gt;YEAR(C9),AND(A9&gt;DA$6,B9&gt;DB$6)),0,Setup!C$67=YEAR(C9),Setup!C$66,AND(OR(A9&lt;=DA$4,B9&lt;=DB$4),Setup!C$67&lt;YEAR(C9)),P8*(1+DH$1),AND(A9&gt;DA$4,B9&gt;DB$4,Setup!C$67&lt;YEAR(C9)),IF(Y8=0,0,(P8-((P8/Y8)*BY8))*(1+DH$2)))</f>
        <v>0</v>
      </c>
      <c r="Q9" s="327" cm="1">
        <f t="array" ref="Q9">_xlfn.IFS(OR(ISBLANK(Setup!C$71),Setup!C$71&gt;YEAR(C9),AND(A9&gt;DA$6,B9&gt;DB$6)),0,Setup!C$71=YEAR(C9),Setup!C$70,AND(OR(A9&lt;=DA$4,B9&lt;=DB$4),Setup!C$71&lt;YEAR(C9)),Q8*(1+DH$1),AND(A9&gt;DA$4,B9&gt;DB$4,Setup!C$71&lt;YEAR(C9)),IF(Y8=0,0,(Q8-((Q8/Y8)*BY8))*(1+DH$2)))</f>
        <v>0</v>
      </c>
      <c r="R9" s="327" cm="1">
        <f t="array" ref="R9">_xlfn.IFS(OR(ISBLANK(Setup!C$75),Setup!C$75&gt;YEAR(C9),AND(A9&gt;DA$6,B9&gt;DB$6)),0,Setup!C$75=YEAR(C9),Setup!C$74,AND(OR(A9&lt;=DA$4,B9&lt;=DB$4),Setup!C$75&lt;YEAR(C9)),R8*(1+DH$1),AND(A9&gt;DA$4,B9&gt;DB$4,Setup!C$75&lt;YEAR(C9)),IF(Y8=0,0,(R8-((R8/Y8)*BY8))*(1+DH$2)))</f>
        <v>0</v>
      </c>
      <c r="S9" s="327"/>
      <c r="T9" s="326" cm="1">
        <f t="array" ref="T9">_xlfn.IFS(AND($A9&gt;$DA$6,$B9&gt;$DB$6),0,AND($W$2=$DA$2,$A9&gt;$DA$4),IF($Y8=0,0,(T8-((T8/$Y8)*$BY8))*(1+$DH$2)),AND($W$2=$DB$2,$B9&gt;$DB$4),IF($Y8=0,0,(T8-((T8/$Y8)*$BY8))*(1+$DH$2)),AND($W$2=$DA$2,OR($A9&gt;$DA$3,$A9&gt;$DA$6)),(T8*(1+$DH$1)),AND($W$2=$DB$2,OR($B9&gt;$DB$3,$B9&gt;$DB$6)),(T8*(1+$DH$1)),AND($W$2=$DA$2,$A9&lt;=$DA$3,$A9&lt;=$DA$4,$A9&lt;=$DA$5),(T8*(1+$DH$1))+(T$4),AND($W$2=$DB$2,$B9&lt;=$DB$3,$B9&lt;=$DB$4,$B9&lt;=$DB$5),(T8*(1+$DH$1))+(T$4))</f>
        <v>0</v>
      </c>
      <c r="U9" s="326" cm="1">
        <f t="array" ref="U9">_xlfn.IFS(AND($A9&gt;$DA$6,$B9&gt;$DB$6),0,AND($W$2=$DA$2,$A9&gt;$DA$4),IF($Y8=0,0,(U8-((U8/$Y8)*$BY8))*(1+$DH$2)),AND($W$2=$DB$2,$B9&gt;$DB$4),IF($Y8=0,0,(U8-((U8/$Y8)*$BY8))*(1+$DH$2)),AND($W$2=$DA$2,OR($A9&gt;$DA$3,$A9&gt;$DA$6)),(U8*(1+$DH$1)),AND($W$2=$DB$2,OR($B9&gt;$DB$3,$B9&gt;$DB$6)),(U8*(1+$DH$1)),AND($W$2=$DA$2,$A9&lt;=$DA$3,$A9&lt;=$DA$4,$A9&lt;=$DA$5),(U8*(1+$DH$1))+(U$4),AND($W$2=$DB$2,$B9&lt;=$DB$3,$B9&lt;=$DB$4,$B9&lt;=$DB$5),(U8*(1+$DH$1))+(U$4))</f>
        <v>0</v>
      </c>
      <c r="V9" s="326" cm="1">
        <f t="array" ref="V9">_xlfn.IFS(AND($A9&gt;$DA$6,$B9&gt;$DB$6),0,AND($W$2=$DA$2,$A9&gt;$DA$4),IF($Y8=0,0,(V8-((V8/$Y8)*$BY8))*(1+$DH$2)),AND($W$2=$DB$2,$B9&gt;$DB$4),IF($Y8=0,0,(V8-((V8/$Y8)*$BY8))*(1+$DH$2)),AND($W$2=$DA$2,OR($A9&gt;$DA$3,$A9&gt;$DA$6)),(V8*(1+$DH$1)),AND($W$2=$DB$2,OR($B9&gt;$DB$3,$B9&gt;$DB$6)),(V8*(1+$DH$1)),AND($W$2=$DA$2,$A9&lt;=$DA$3,$A9&lt;=$DA$4,$A9&lt;=$DA$5),(V8*(1+$DH$1))+(V$4),AND($W$2=$DB$2,$B9&lt;=$DB$3,$B9&lt;=$DB$4,$B9&lt;=$DB$5),(V8*(1+$DH$1))+(V$4))</f>
        <v>0</v>
      </c>
      <c r="W9" s="326" cm="1">
        <f t="array" ref="W9">_xlfn.IFS(AND($A9&gt;$DA$6,$B9&gt;$DB$6),0,AND($W$2=$DA$2,$A9&gt;$DA$4),IF($Y8=0,0,(W8-((W8/$Y8)*$BY8))*(1+$DH$2)),AND($W$2=$DB$2,$B9&gt;$DB$4),IF($Y8=0,0,(W8-((W8/$Y8)*$BY8))*(1+$DH$2)),AND($W$2=$DA$2,OR($A9&gt;$DA$3,$A9&gt;$DA$6)),(W8*(1+$DH$1)),AND($W$2=$DB$2,OR($B9&gt;$DB$3,$B9&gt;$DB$6)),(W8*(1+$DH$1)),AND($W$2=$DA$2,$A9&lt;=$DA$3,$A9&lt;=$DA$4,$A9&lt;=$DA$5),(W8*(1+$DH$1))+(W$4),AND($W$2=$DB$2,$B9&lt;=$DB$3,$B9&lt;=$DB$4,$B9&lt;=$DB$5),(W8*(1+$DH$1))+(W$4))</f>
        <v>0</v>
      </c>
      <c r="Y9" s="1">
        <f t="shared" si="18"/>
        <v>0</v>
      </c>
      <c r="Z9" s="2">
        <f t="shared" si="19"/>
        <v>0</v>
      </c>
      <c r="AA9" s="375"/>
      <c r="AC9" s="326" cm="1">
        <f t="array" ref="AC9">_xlfn.IFS(AND(A9&gt;DA$6,B9&gt;DB$6),0,AND(A9&gt;DA$4,B9&gt;DB$4),IF(AG8=0,0,(AC8-((AC8/AG8)*CA8))*(1+DH$2)),OR(A9&gt;DA$3,A9&gt;DA$6),AC8*(1+DH$1),A9&gt;DA$4,(AC8-CA8)*(1+DH$2),AND(A9&lt;=DA$3,A9&lt;=DA$4,A9&lt;=DA$6),(AC8*(1+DH$1))+(AC$4))</f>
        <v>0</v>
      </c>
      <c r="AD9" s="375"/>
      <c r="AE9" s="326" cm="1">
        <f t="array" ref="AE9">_xlfn.IFS(AND(A9&gt;DA$6,B9&gt;DB$6),0,AND(A9&gt;DA$4,B9&gt;DB$4),IF(AG8=0,0,(AE8-((AE8/AG8)*CA8))*(1+DH$2)),OR(B9&gt;DB$3,B9&gt;DB$6),AE8*(1+DH$1),B9&gt;DB$4,(AE8-CA8)*(1+DH$2),AND(B9&lt;=DB$3,B9&lt;=DB$4,B9&lt;=DB$6),(AE8*(1+DH$1))+(AE$4))</f>
        <v>0</v>
      </c>
      <c r="AF9" s="375"/>
      <c r="AG9" s="1">
        <f t="shared" si="5"/>
        <v>0</v>
      </c>
      <c r="AH9" s="2">
        <f t="shared" si="20"/>
        <v>0</v>
      </c>
      <c r="AI9" s="14">
        <f t="shared" si="6"/>
        <v>0</v>
      </c>
      <c r="AK9" s="1">
        <f t="shared" si="21"/>
        <v>0</v>
      </c>
      <c r="AL9" s="14">
        <f t="shared" si="22"/>
        <v>0</v>
      </c>
      <c r="AM9" s="14" t="str">
        <f t="shared" si="23"/>
        <v/>
      </c>
      <c r="AO9" s="15">
        <f t="shared" si="7"/>
        <v>0</v>
      </c>
      <c r="AP9" s="1">
        <f>IF(AND(B9&gt;=$DB$6,A9&gt;=$DA$6),0,AP8*(1+Lookups!C$12))</f>
        <v>0</v>
      </c>
      <c r="AQ9" s="1">
        <f>IF(AND(B9&gt;=$DB$6,A9&gt;=$DA$6),0,AQ8*(1+Lookups!C$12))</f>
        <v>0</v>
      </c>
      <c r="AS9" s="1" cm="1">
        <f t="array" ref="AS9">_xlfn.IFS(OR(AS$6="",AND(A9&gt;=DA$6,B9&gt;=DB$6),AND(A9&lt;DA$4,B9&lt;DB$4)),0,AND(A9=DA$4,DA$4&lt;=DB$4),AS$6,AND(B9=DB$4,DA$4&gt;=DB$4),AS$6,OR(A9&gt;DA$4,B9&gt;DB$4),AS8*(1+Setup!C$103))</f>
        <v>0</v>
      </c>
      <c r="AT9" s="1" cm="1">
        <f t="array" ref="AT9">_xlfn.IFS(OR(AT$6="",AND(A9&gt;=DA$6,B9&gt;=DB$6),AND(A9&lt;DA$4,B9&lt;DB$4)),0,AND(A9=DA$4,DA$4&lt;=DB$4),AT$6,AND(B9=DB$4,DA$4&gt;=DB$4),AT$6,OR(A9&gt;DA$4,B9&gt;DB$4),AT8*(1+Setup!C$103))</f>
        <v>0</v>
      </c>
      <c r="AU9" s="1" cm="1">
        <f t="array" ref="AU9">_xlfn.IFS(OR(AU$6="",AND(A9&gt;=DA$6,B9&gt;=DB$6),AND(A9&lt;DA$4,B9&lt;DB$4)),0,AND(A9=DA$4,DA$4&lt;=DB$4),AU$6,AND(B9=DB$4,DA$4&gt;=DB$4),AU$6,OR(A9&gt;DA$4,B9&gt;DB$4),AU8*(1+Setup!C$103))</f>
        <v>0</v>
      </c>
      <c r="AV9" s="1" cm="1">
        <f t="array" ref="AV9">_xlfn.IFS(OR(AV$6="",AND(A9&gt;=DA$6,B9&gt;=DB$6),AND(A9&lt;DA$4,B9&lt;DB$4)),0,AND(A9=DA$4,DA$4&lt;=DB$4),AV$6,AND(B9=DB$4,DA$4&gt;=DB$4),AV$6,OR(A9&gt;DA$4,B9&gt;DB$4),AV8*(1+Setup!C$103))</f>
        <v>0</v>
      </c>
      <c r="AW9" s="1">
        <f t="shared" si="8"/>
        <v>0</v>
      </c>
      <c r="AY9" s="1" cm="1">
        <f t="array" ref="AY9">_xlfn.IFS(OR(AND(A9&gt;=DA$6,B9&gt;=DB$6),A9&lt;DA$5),0,AND(A9=DA$5,YEAR(C9)&gt;=Lookups!D$89),VLOOKUP(A9,Lookups!B$94:F$102,3),AND(A9=DA$5,YEAR(C9)&lt;Lookups!D$89),VLOOKUP(A9,Lookups!B$94:F$102,2),AND(A9&gt;DA$5,YEAR(C9)=Lookups!D$89),(AY8*Lookups!D$90)*(1+Lookups!C$20),AND(A9&gt;DA$5,YEAR(C9)&lt;&gt;Lookups!D$89),AY8*(1+Lookups!C$20))</f>
        <v>0</v>
      </c>
      <c r="AZ9" s="1" cm="1">
        <f t="array" ref="AZ9">_xlfn.IFS(OR(ISBLANK(Setup!K$91),Setup!K$91=0,AND(A9&gt;=DA$6,B9&gt;=DB$6),B9&lt;DB$5),0,AND(B9=DB$5,YEAR(C9)&gt;=Lookups!D$89),VLOOKUP(B9,Lookups!B$94:F$102,5),AND(B9=DB$5,YEAR(C9)&lt;Lookups!D$89),VLOOKUP(B9,Lookups!B$94:F$102,4),AND(B9&gt;DB$5,YEAR(C9)=Lookups!D$89),(AZ8*Lookups!D$90)*(1+Lookups!C$20),AND(B9&gt;DB$5,YEAR(C9)&lt;&gt;Lookups!D$89),AZ8*(1+Lookups!C$20))</f>
        <v>0</v>
      </c>
      <c r="BA9" s="65">
        <f>IF(OR(AY9&gt;0,AZ9&gt;0),(AY9+AZ9)*Lookups!D$120,0)</f>
        <v>0</v>
      </c>
      <c r="BB9" s="1" cm="1">
        <f t="array" ref="BB9">_xlfn.IFS(AND(A9&lt;DA$4,B9&lt;DB$4),0,OR(_xlfn.XOR(A9&gt;DA$6,B9&gt;DB$6),_xlfn.XOR(A9&gt;=DA$4,B9&gt;=DB$4)),IF(AP9-SUM(AW9,AY9:AZ9)&gt;0,AP9-SUM(AW9,AY9:AZ9),0),AQ9-SUM(AW9,AY9:AZ9)&gt;0, AQ9-SUM(AW9,AY9:AZ9),AQ9-SUM(AW9,AY9:AZ9)&lt;=0,0)</f>
        <v>0</v>
      </c>
      <c r="BD9" s="1" cm="1">
        <f t="array" ref="BD9">_xlfn.IFS(AND(A9&gt;=DA$6,B9&gt;=DB$6),0,AND(A9&gt;=DA$6,B9&gt;=Lookups!C$35),D9/VLOOKUP(B9,Lookups!C$37:D$67,2),A9&lt;Lookups!$C$35,0,A9&gt;=Lookups!C$35,D9/VLOOKUP(A9,Lookups!C$37:D$67,2))</f>
        <v>0</v>
      </c>
      <c r="BE9" s="1" cm="1">
        <f t="array" ref="BE9">_xlfn.IFS(AND(A9&gt;=DA$6,B9&gt;=DB$6),0,AND(B9&gt;=DB$6,A9&gt;=Lookups!C$35),F9/VLOOKUP(A9,Lookups!C$37:D$67,2),B9&lt;Lookups!$C$35,0,B9&gt;=Lookups!C$35,F9/VLOOKUP(B9,Lookups!C$37:D$67,2))</f>
        <v>0</v>
      </c>
      <c r="BF9" s="1" cm="1">
        <f t="array" ref="BF9">_xlfn.IFS($BB9&lt;=0,0,AND(A9&gt;=DA$4,B9&gt;=DB$4,$BB9*I9&lt;(BD9+BE9)),0,AND(A9&gt;=DA$4,B9&gt;=DB$4,H9&gt;=(BB9*I9)-BD9-BE9),(BB9*I9)-BD9-BE9,AND(A9&gt;=DA$4,B9&gt;=DB$4,H9&lt;(BB9*I9)-BD9-BE9),H9,AND(A9&gt;=DA$4,$BB9*I9&lt;(BD9)),0,AND(A9&gt;=DA$4,H9&gt;=(BB9*I9)-BD9),(BB9*I9)-BD9,AND(A9&gt;=DA$4,H9&lt;(BB9*I9)-BD9),H9,AND(B9&gt;=DB$4,$BB9*I9&lt;(BE9)),0,AND(B9&gt;=DB$4,H9&gt;=(BB9*I9)-BE9),(BB9*I9)-BE9,AND(B9&gt;=DB$4,H9&lt;(BB9*I9)-BE9),H9)</f>
        <v>0</v>
      </c>
      <c r="BG9" s="1">
        <f t="shared" si="9"/>
        <v>0</v>
      </c>
      <c r="BH9" s="1" cm="1">
        <f t="array" ref="BH9">_xlfn.IFS(OR(D9=0,A9&lt;DA$4),0,AND(A9&gt;=DA$4,B9&gt;=DB$4,D9&lt;BD9+($BF9*(D9/$H9))+(-$BP9*(D9/$H9))),D9,AND(A9&gt;=DA$4,B9&gt;=DB$4,$BB9&gt;$BG9),BD9+($BF9*(D9/$H9))+(-$BP9*(D9/$H9)),AND(A9&gt;=DA$4,B9&gt;=DB$4,OR(A9&gt;DA$6, B9&gt;DB$6),$AP9-SUM($AW9,$AY9:$AZ9)&lt;0),BD9+($BF9*(D9/$H9))+(-$BP9*(D9/$H9))+(BP9*(D9/$H9)),AND(A9&gt;=DA$4,B9&gt;=DB$4,$AQ9-SUM($AW9,$AY9:$AZ9)&lt;0),BD9+($BF9*(D9/$H9))+(-$BP9*(D9/$H9))+(BP9*(D9/$H9)),AND(A9&gt;=DA$4,D9&lt;BD9+$BF9-$BP9),D9,AND(A9&gt;=DA$4,$AP9-SUM($AW9,$AY9:$AZ9)&lt;0),BD9+($BF9*(D9/$H9))+(-$BP9*(D9/$H9))+(BP9*(D9/$H9)),A9&gt;=DA$4,BD9+$BF9-$BP9)</f>
        <v>0</v>
      </c>
      <c r="BI9" s="1" cm="1">
        <f t="array" ref="BI9">_xlfn.IFS(OR(F9=0,B9&lt;DB$4),0,AND(A9&gt;=DA$4,B9&gt;=DB$4,F9&lt;BE9+($BF9*(F9/$H9))+(-$BP9*(F9/$H9))),F9,AND(A9&gt;=DA$4,B9&gt;=DB$4,$BB9&gt;$BG9),BE9+($BF9*(F9/$H9))+(-$BP9*(F9/$H9)),AND(A9&gt;=DA$4,B9&gt;=DB$4,OR(A9&gt;DA$6, B9&gt;DB$6),$AP9-SUM($AW9,$AY9:$AZ9)&lt;0),BE9+($BF9*(F9/$H9))+(-$BP9*(F9/$H9))+(BP9*(F9/$H9)),AND(A9&gt;=DA$4,B9&gt;=DB$4,$AQ9-SUM($AW9,$AY9:$AZ9)&lt;0),BE9+($BF9*(F9/$H9))+(-$BP9*(F9/$H9))+(BP9*(F9/$H9)),AND(B9&gt;=DB$4,F9&lt;BE9+$BF9-$BP9),F9,AND(B9&gt;=DB$4,$AP9-SUM($AW9,$AY9:$AZ9)&lt;0),BE9+($BF9*(F9/$H9))+(-$BP9*(F9/$H9))+(BP9*(F9/$H9)),B9&gt;=DB$4,BE9+$BF9-$BP9)</f>
        <v>0</v>
      </c>
      <c r="BJ9" s="64" cm="1">
        <f t="array" ref="BJ9">IF(AW9+BA9+BG9&gt;0, AW9+BA9+BG9-_xlfn.IFS(AND(A9&gt;=65,B9&gt;=65),VLOOKUP(Setup!I$4,Lookups!C$133:F$136,4),OR(A9&gt;=65,B9&gt;=65),VLOOKUP(Setup!I$4,Lookups!C$133:E$136,3),AND(A9&lt;65,B9&lt;65),VLOOKUP(Setup!I$4,Lookups!C$133:D$136,2)),0)</f>
        <v>0</v>
      </c>
      <c r="BK9" s="1" cm="1">
        <f t="array" ref="BK9">IF(BJ9&gt;0,_xlfn.IFS(Setup!I$4=Lookups!D$109,-_xlfn.IFS($BJ9&gt;=Lookups!D$157, Lookups!F$157+($BJ9-Lookups!D$157)*Lookups!G$157,$BJ9&gt;=Lookups!D$156, Lookups!F$156+($BJ9-Lookups!D$156)*Lookups!G$156,$BJ9&gt;=Lookups!D$155, Lookups!F$155+($BJ9-Lookups!D$155)*Lookups!G$155,$BJ9&gt;=Lookups!D$154, Lookups!F$154+($BJ9-Lookups!D$154)*Lookups!G$154,$BJ9&gt;=Lookups!D$153, Lookups!F$153+($BJ9-Lookups!D$153)*Lookups!G$153,$BJ9&gt;=Lookups!D$152, Lookups!F$152+($BJ9-Lookups!D$152)*Lookups!G$152,$BJ9&lt;Lookups!D$152,$BJ9*Lookups!G$151),Setup!I$4=Lookups!D$110,-_xlfn.IFS($BJ9&gt;=Lookups!D$167, Lookups!F$167+($BJ9-Lookups!D$167)*Lookups!G$167,$BJ9&gt;=Lookups!D$166, Lookups!F$166+($BJ9-Lookups!D$166)*Lookups!G$166,$BJ9&gt;=Lookups!D$165, Lookups!F$165+($BJ9-Lookups!D$165)*Lookups!G$165,$BJ9&gt;=Lookups!D$164, Lookups!F$164+($BJ9-Lookups!D$164)*Lookups!G$164,$BJ9&gt;=Lookups!D$163, Lookups!F$163+($BJ9-Lookups!D$163)*Lookups!G$163,$BJ9&gt;=Lookups!D$162, Lookups!F$162+($BJ9-Lookups!D$162)*Lookups!G$162,$BJ9&lt;Lookups!D$162,$BJ9*Lookups!G$161),Setup!I$4=Lookups!D$111,-_xlfn.IFS($BJ9&gt;=Lookups!D$177, Lookups!F$177+($BJ9-Lookups!D$177)*Lookups!G$177,$BJ9&gt;=Lookups!D$176, Lookups!F$176+($BJ9-Lookups!D$176)*Lookups!G$176,$BJ9&gt;=Lookups!D$175, Lookups!F$175+($BJ9-Lookups!D$175)*Lookups!G$175,$BJ9&gt;=Lookups!D$174, Lookups!F$174+($BJ9-Lookups!D$174)*Lookups!G$174,$BJ9&gt;=Lookups!D$173, Lookups!F$173+($BJ9-Lookups!D$173)*Lookups!G$173,$BJ9&gt;=Lookups!D$172, Lookups!F$172+($BJ9-Lookups!D$172)*Lookups!G$172,$BJ9&lt;Lookups!D$172,$BJ9*Lookups!G$171), Setup!I$4=Lookups!D$112,-_xlfn.IFS($BJ9&gt;=Lookups!D$187, Lookups!F$187+($BJ9-Lookups!D$187)*Lookups!G$187,$BJ9&gt;=Lookups!D$186, Lookups!F$186+($BJ9-Lookups!D$186)*Lookups!G$186,$BJ9&gt;=Lookups!D$185, Lookups!F$185+($BJ9-Lookups!D$185)*Lookups!G$185,$BJ9&gt;=Lookups!D$184, Lookups!F$184+($BJ9-Lookups!D$184)*Lookups!G$184,$BJ9&gt;=Lookups!D$183, Lookups!F$183+($BJ9-Lookups!D$183)*Lookups!G$183,$BJ9&gt;=Lookups!D$182, Lookups!F$182+($BJ9-Lookups!D$182)*Lookups!G$182,$BJ9&lt;Lookups!D$182,$BJ9*Lookups!G$181)),0)</f>
        <v>0</v>
      </c>
      <c r="BL9" s="18">
        <f t="shared" si="10"/>
        <v>0</v>
      </c>
      <c r="BM9" s="134">
        <f t="shared" si="24"/>
        <v>0</v>
      </c>
      <c r="BN9" s="134" cm="1">
        <f t="array" aca="1" ref="BN9" ca="1">INDIRECT(Setup!I$6&amp;"!"&amp;"A"&amp;ROW())</f>
        <v>0</v>
      </c>
      <c r="BO9" s="134">
        <f t="shared" si="25"/>
        <v>0</v>
      </c>
      <c r="BP9" s="1">
        <f t="shared" si="11"/>
        <v>0</v>
      </c>
      <c r="BQ9" s="1">
        <f t="shared" si="26"/>
        <v>0</v>
      </c>
      <c r="BS9" s="1">
        <f t="shared" si="27"/>
        <v>0</v>
      </c>
      <c r="BT9" s="1" cm="1">
        <f t="array" ref="BT9">-IF(BS9&gt;0,_xlfn.IFS((AW9+BA9+BG9+BS9)&gt;=VLOOKUP(Setup!I$4,Lookups!C$210:E$213,3),BS9*Lookups!D$203,(AW9+BA9+BG9+BS9)&gt;=VLOOKUP(Setup!I$4,Lookups!C$210:E$213,2),BS9*Lookups!D$197,(AW9+BA9+BG9+BS9)&lt;VLOOKUP(Setup!I$4,Lookups!C$210:E$213,2),0),0)</f>
        <v>0</v>
      </c>
      <c r="BU9" s="18">
        <f t="shared" si="28"/>
        <v>0</v>
      </c>
      <c r="BV9" s="1">
        <f t="shared" si="29"/>
        <v>0</v>
      </c>
      <c r="BW9" s="1" cm="1">
        <f t="array" aca="1" ref="BW9" ca="1">INDIRECT(Setup!I$6&amp;"!"&amp;"A"&amp;ROW()+100)</f>
        <v>0</v>
      </c>
      <c r="BX9" s="1">
        <f t="shared" ca="1" si="15"/>
        <v>0</v>
      </c>
      <c r="BY9" s="1">
        <f t="shared" ca="1" si="16"/>
        <v>0</v>
      </c>
      <c r="CA9" s="1">
        <f t="shared" ref="CA9:CA38" si="34">IF(AG9=0,0,IF(BQ9&gt;0,IF(AG9&gt;=BQ9*(AG9/(AG9+Y9)),BQ9*(AG9/(AG9+Y9)),AG9),0))</f>
        <v>0</v>
      </c>
      <c r="CC9" s="1" cm="1">
        <f t="array" ref="CC9">_xlfn.IFS(AND(A9&lt;$DA$4,B9&lt;$DB$4),0,AND(AND(A9&gt;=$DA$4,B9&gt;=$DB$4),AND(A9&lt;=$DA$6,B9&lt;=$DB$6),AND(BH9=0,BI9=0)),SUM(AW9,AY9:AZ9,BD9:BF9,BP9,BS9,CA9)-AQ9,AND(AND(A9&gt;=$DA$4,B9&gt;=$DB$4),AND(A9&lt;=$DA$6,B9&lt;=$DB$6)),SUM(AW9,AY9:AZ9,BD9:BF9,BS9,CA9)-AQ9,AND(OR(A9&gt;=$DA$4,B9&gt;=$DB$4),AND(BH9=0,BI9=0)),SUM(AW9,AY9:AZ9,BD9:BF9,BP9,BS9,CA9)-AP9,OR(A9&gt;=$DA$4,B9&gt;=$DB$4),SUM(AW9,AY9:AZ9,BD9:BF9,BS9,CA9)-AP9)</f>
        <v>0</v>
      </c>
      <c r="CD9" s="142" t="str">
        <f t="shared" si="30"/>
        <v/>
      </c>
    </row>
    <row r="10" spans="1:112" ht="14.4" customHeight="1" x14ac:dyDescent="0.3">
      <c r="A10" s="354">
        <f t="shared" si="31"/>
        <v>3</v>
      </c>
      <c r="B10" s="354">
        <f t="shared" si="32"/>
        <v>3</v>
      </c>
      <c r="C10" s="359">
        <f t="shared" si="33"/>
        <v>1097</v>
      </c>
      <c r="D10" s="326" cm="1">
        <f t="array" ref="D10">_xlfn.IFS(AND(A10&gt;DA$6,B10&gt;DB$6),0,AND(A10&gt;DA$3,A10&lt;=DA$4),D9*(1+DH$1),OR(A10&gt;DA$6,A10&gt;DA$4),(D9-BH9)*(1+DH$2),A10&lt;=DA$4,(D9*(1+DH$1))+(D$4))</f>
        <v>0</v>
      </c>
      <c r="E10" s="375"/>
      <c r="F10" s="326" cm="1">
        <f t="array" ref="F10">_xlfn.IFS(AND(A10&gt;DA$6,B10&gt;DB$6),0,AND(B10&gt;DB$3,B10&lt;=DB$4),F9*(1+DH$1),OR(B10&gt;DB$6,B10&gt;DB$4),(F9-BI9)*(1+DH$2),B10&lt;=DB$4,(F9*(1+DH$1))+(F$4))</f>
        <v>0</v>
      </c>
      <c r="G10" s="375"/>
      <c r="H10" s="1">
        <f t="shared" si="17"/>
        <v>0</v>
      </c>
      <c r="I10" s="2">
        <f t="shared" si="2"/>
        <v>0</v>
      </c>
      <c r="J10" s="14">
        <f>SUM(E10,G10)</f>
        <v>0</v>
      </c>
      <c r="L10" s="402" cm="1">
        <f t="array" ref="L10">_xlfn.IFS(AND(A10&gt;DA$6,B10&gt;DB$6),0,A10&lt;DA$6,0,A10=DA$6,L$4,AND(A10&gt;DA$6,B10&lt;=DB$4),L9*(1+DH$1),AND(A10&gt;DA$6,B10&gt;DB$4),IF(Y9=0,0,(L9-((L9/Y9)*BY9))*(1+DH$2)))</f>
        <v>0</v>
      </c>
      <c r="M10" s="402" cm="1">
        <f t="array" ref="M10">_xlfn.IFS(AND(A10&gt;DA$6,B10&gt;DB$6),0,B10&lt;DB$6,0,B10=DB$6,M$4,AND(B10&gt;DB$6,A10&lt;=DA$4),M9*(1+DH$1),AND(A10&gt;DA$4,B10&gt;DB$6),IF(Y9=0,0,(M9-((M9/Y9)*BY9))*(1+DH$2)))</f>
        <v>0</v>
      </c>
      <c r="N10" s="327"/>
      <c r="O10" s="327" cm="1">
        <f t="array" ref="O10">_xlfn.IFS(OR(ISBLANK(Setup!C$63),Setup!C$63&gt;YEAR(C10),AND(A10&gt;DA$6,B10&gt;DB$6),ISBLANK(Y9)),0,Setup!C$63=YEAR(C10),Setup!C$62,AND(OR(A10&lt;=DA$4,B10&lt;=DB$4),Setup!C$63&lt;YEAR(C10)),O9*(1+DH$1),AND(A10&gt;DA$4,B10&gt;DB$4,Setup!C$63&lt;YEAR(C10)),IF(Y9=0,0,(O9-((O9/Y9)*BY9))*(1+DH$2)))</f>
        <v>0</v>
      </c>
      <c r="P10" s="327" cm="1">
        <f t="array" ref="P10">_xlfn.IFS(OR(ISBLANK(Setup!C$67),Setup!C$67&gt;YEAR(C10),AND(A10&gt;DA$6,B10&gt;DB$6)),0,Setup!C$67=YEAR(C10),Setup!C$66,AND(OR(A10&lt;=DA$4,B10&lt;=DB$4),Setup!C$67&lt;YEAR(C10)),P9*(1+DH$1),AND(A10&gt;DA$4,B10&gt;DB$4,Setup!C$67&lt;YEAR(C10)),IF(Y9=0,0,(P9-((P9/Y9)*BY9))*(1+DH$2)))</f>
        <v>0</v>
      </c>
      <c r="Q10" s="327" cm="1">
        <f t="array" ref="Q10">_xlfn.IFS(OR(ISBLANK(Setup!C$71),Setup!C$71&gt;YEAR(C10),AND(A10&gt;DA$6,B10&gt;DB$6)),0,Setup!C$71=YEAR(C10),Setup!C$70,AND(OR(A10&lt;=DA$4,B10&lt;=DB$4),Setup!C$71&lt;YEAR(C10)),Q9*(1+DH$1),AND(A10&gt;DA$4,B10&gt;DB$4,Setup!C$71&lt;YEAR(C10)),IF(Y9=0,0,(Q9-((Q9/Y9)*BY9))*(1+DH$2)))</f>
        <v>0</v>
      </c>
      <c r="R10" s="327" cm="1">
        <f t="array" ref="R10">_xlfn.IFS(OR(ISBLANK(Setup!C$75),Setup!C$75&gt;YEAR(C10),AND(A10&gt;DA$6,B10&gt;DB$6)),0,Setup!C$75=YEAR(C10),Setup!C$74,AND(OR(A10&lt;=DA$4,B10&lt;=DB$4),Setup!C$75&lt;YEAR(C10)),R9*(1+DH$1),AND(A10&gt;DA$4,B10&gt;DB$4,Setup!C$75&lt;YEAR(C10)),IF(Y9=0,0,(R9-((R9/Y9)*BY9))*(1+DH$2)))</f>
        <v>0</v>
      </c>
      <c r="S10" s="327"/>
      <c r="T10" s="326" cm="1">
        <f t="array" ref="T10">_xlfn.IFS(AND($A10&gt;$DA$6,$B10&gt;$DB$6),0,AND($W$2=$DA$2,$A10&gt;$DA$4),IF($Y9=0,0,(T9-((T9/$Y9)*$BY9))*(1+$DH$2)),AND($W$2=$DB$2,$B10&gt;$DB$4),IF($Y9=0,0,(T9-((T9/$Y9)*$BY9))*(1+$DH$2)),AND($W$2=$DA$2,OR($A10&gt;$DA$3,$A10&gt;$DA$6)),(T9*(1+$DH$1)),AND($W$2=$DB$2,OR($B10&gt;$DB$3,$B10&gt;$DB$6)),(T9*(1+$DH$1)),AND($W$2=$DA$2,$A10&lt;=$DA$3,$A10&lt;=$DA$4,$A10&lt;=$DA$5),(T9*(1+$DH$1))+(T$4),AND($W$2=$DB$2,$B10&lt;=$DB$3,$B10&lt;=$DB$4,$B10&lt;=$DB$5),(T9*(1+$DH$1))+(T$4))</f>
        <v>0</v>
      </c>
      <c r="U10" s="326" cm="1">
        <f t="array" ref="U10">_xlfn.IFS(AND($A10&gt;$DA$6,$B10&gt;$DB$6),0,AND($W$2=$DA$2,$A10&gt;$DA$4),IF($Y9=0,0,(U9-((U9/$Y9)*$BY9))*(1+$DH$2)),AND($W$2=$DB$2,$B10&gt;$DB$4),IF($Y9=0,0,(U9-((U9/$Y9)*$BY9))*(1+$DH$2)),AND($W$2=$DA$2,OR($A10&gt;$DA$3,$A10&gt;$DA$6)),(U9*(1+$DH$1)),AND($W$2=$DB$2,OR($B10&gt;$DB$3,$B10&gt;$DB$6)),(U9*(1+$DH$1)),AND($W$2=$DA$2,$A10&lt;=$DA$3,$A10&lt;=$DA$4,$A10&lt;=$DA$5),(U9*(1+$DH$1))+(U$4),AND($W$2=$DB$2,$B10&lt;=$DB$3,$B10&lt;=$DB$4,$B10&lt;=$DB$5),(U9*(1+$DH$1))+(U$4))</f>
        <v>0</v>
      </c>
      <c r="V10" s="326" cm="1">
        <f t="array" ref="V10">_xlfn.IFS(AND($A10&gt;$DA$6,$B10&gt;$DB$6),0,AND($W$2=$DA$2,$A10&gt;$DA$4),IF($Y9=0,0,(V9-((V9/$Y9)*$BY9))*(1+$DH$2)),AND($W$2=$DB$2,$B10&gt;$DB$4),IF($Y9=0,0,(V9-((V9/$Y9)*$BY9))*(1+$DH$2)),AND($W$2=$DA$2,OR($A10&gt;$DA$3,$A10&gt;$DA$6)),(V9*(1+$DH$1)),AND($W$2=$DB$2,OR($B10&gt;$DB$3,$B10&gt;$DB$6)),(V9*(1+$DH$1)),AND($W$2=$DA$2,$A10&lt;=$DA$3,$A10&lt;=$DA$4,$A10&lt;=$DA$5),(V9*(1+$DH$1))+(V$4),AND($W$2=$DB$2,$B10&lt;=$DB$3,$B10&lt;=$DB$4,$B10&lt;=$DB$5),(V9*(1+$DH$1))+(V$4))</f>
        <v>0</v>
      </c>
      <c r="W10" s="326" cm="1">
        <f t="array" ref="W10">_xlfn.IFS(AND($A10&gt;$DA$6,$B10&gt;$DB$6),0,AND($W$2=$DA$2,$A10&gt;$DA$4),IF($Y9=0,0,(W9-((W9/$Y9)*$BY9))*(1+$DH$2)),AND($W$2=$DB$2,$B10&gt;$DB$4),IF($Y9=0,0,(W9-((W9/$Y9)*$BY9))*(1+$DH$2)),AND($W$2=$DA$2,OR($A10&gt;$DA$3,$A10&gt;$DA$6)),(W9*(1+$DH$1)),AND($W$2=$DB$2,OR($B10&gt;$DB$3,$B10&gt;$DB$6)),(W9*(1+$DH$1)),AND($W$2=$DA$2,$A10&lt;=$DA$3,$A10&lt;=$DA$4,$A10&lt;=$DA$5),(W9*(1+$DH$1))+(W$4),AND($W$2=$DB$2,$B10&lt;=$DB$3,$B10&lt;=$DB$4,$B10&lt;=$DB$5),(W9*(1+$DH$1))+(W$4))</f>
        <v>0</v>
      </c>
      <c r="Y10" s="1">
        <f t="shared" si="18"/>
        <v>0</v>
      </c>
      <c r="Z10" s="2">
        <f t="shared" si="19"/>
        <v>0</v>
      </c>
      <c r="AA10" s="375"/>
      <c r="AC10" s="326" cm="1">
        <f t="array" ref="AC10">_xlfn.IFS(AND(A10&gt;DA$6,B10&gt;DB$6),0,AND(A10&gt;DA$4,B10&gt;DB$4),IF(AG9=0,0,(AC9-((AC9/AG9)*CA9))*(1+DH$2)),OR(A10&gt;DA$3,A10&gt;DA$6),AC9*(1+DH$1),A10&gt;DA$4,(AC9-CA9)*(1+DH$2),AND(A10&lt;=DA$3,A10&lt;=DA$4,A10&lt;=DA$6),(AC9*(1+DH$1))+(AC$4))</f>
        <v>0</v>
      </c>
      <c r="AD10" s="375"/>
      <c r="AE10" s="326" cm="1">
        <f t="array" ref="AE10">_xlfn.IFS(AND(A10&gt;DA$6,B10&gt;DB$6),0,AND(A10&gt;DA$4,B10&gt;DB$4),IF(AG9=0,0,(AE9-((AE9/AG9)*CA9))*(1+DH$2)),OR(B10&gt;DB$3,B10&gt;DB$6),AE9*(1+DH$1),B10&gt;DB$4,(AE9-CA9)*(1+DH$2),AND(B10&lt;=DB$3,B10&lt;=DB$4,B10&lt;=DB$6),(AE9*(1+DH$1))+(AE$4))</f>
        <v>0</v>
      </c>
      <c r="AF10" s="375"/>
      <c r="AG10" s="1">
        <f t="shared" si="5"/>
        <v>0</v>
      </c>
      <c r="AH10" s="2">
        <f t="shared" si="20"/>
        <v>0</v>
      </c>
      <c r="AI10" s="14">
        <f t="shared" si="6"/>
        <v>0</v>
      </c>
      <c r="AK10" s="1">
        <f t="shared" si="21"/>
        <v>0</v>
      </c>
      <c r="AL10" s="14">
        <f t="shared" si="22"/>
        <v>0</v>
      </c>
      <c r="AM10" s="14" t="str">
        <f t="shared" si="23"/>
        <v/>
      </c>
      <c r="AO10" s="15">
        <f t="shared" si="7"/>
        <v>0</v>
      </c>
      <c r="AP10" s="1">
        <f>IF(AND(B10&gt;=$DB$6,A10&gt;=$DA$6),0,AP9*(1+Lookups!C$12))</f>
        <v>0</v>
      </c>
      <c r="AQ10" s="1">
        <f>IF(AND(B10&gt;=$DB$6,A10&gt;=$DA$6),0,AQ9*(1+Lookups!C$12))</f>
        <v>0</v>
      </c>
      <c r="AS10" s="1" cm="1">
        <f t="array" ref="AS10">_xlfn.IFS(OR(AS$6="",AND(A10&gt;=DA$6,B10&gt;=DB$6),AND(A10&lt;DA$4,B10&lt;DB$4)),0,AND(A10=DA$4,DA$4&lt;=DB$4),AS$6,AND(B10=DB$4,DA$4&gt;=DB$4),AS$6,OR(A10&gt;DA$4,B10&gt;DB$4),AS9*(1+Setup!C$103))</f>
        <v>0</v>
      </c>
      <c r="AT10" s="1" cm="1">
        <f t="array" ref="AT10">_xlfn.IFS(OR(AT$6="",AND(A10&gt;=DA$6,B10&gt;=DB$6),AND(A10&lt;DA$4,B10&lt;DB$4)),0,AND(A10=DA$4,DA$4&lt;=DB$4),AT$6,AND(B10=DB$4,DA$4&gt;=DB$4),AT$6,OR(A10&gt;DA$4,B10&gt;DB$4),AT9*(1+Setup!C$103))</f>
        <v>0</v>
      </c>
      <c r="AU10" s="1" cm="1">
        <f t="array" ref="AU10">_xlfn.IFS(OR(AU$6="",AND(A10&gt;=DA$6,B10&gt;=DB$6),AND(A10&lt;DA$4,B10&lt;DB$4)),0,AND(A10=DA$4,DA$4&lt;=DB$4),AU$6,AND(B10=DB$4,DA$4&gt;=DB$4),AU$6,OR(A10&gt;DA$4,B10&gt;DB$4),AU9*(1+Setup!C$103))</f>
        <v>0</v>
      </c>
      <c r="AV10" s="1" cm="1">
        <f t="array" ref="AV10">_xlfn.IFS(OR(AV$6="",AND(A10&gt;=DA$6,B10&gt;=DB$6),AND(A10&lt;DA$4,B10&lt;DB$4)),0,AND(A10=DA$4,DA$4&lt;=DB$4),AV$6,AND(B10=DB$4,DA$4&gt;=DB$4),AV$6,OR(A10&gt;DA$4,B10&gt;DB$4),AV9*(1+Setup!C$103))</f>
        <v>0</v>
      </c>
      <c r="AW10" s="1">
        <f t="shared" si="8"/>
        <v>0</v>
      </c>
      <c r="AY10" s="1" cm="1">
        <f t="array" ref="AY10">_xlfn.IFS(OR(AND(A10&gt;=DA$6,B10&gt;=DB$6),A10&lt;DA$5),0,AND(A10=DA$5,YEAR(C10)&gt;=Lookups!D$89),VLOOKUP(A10,Lookups!B$94:F$102,3),AND(A10=DA$5,YEAR(C10)&lt;Lookups!D$89),VLOOKUP(A10,Lookups!B$94:F$102,2),AND(A10&gt;DA$5,YEAR(C10)=Lookups!D$89),(AY9*Lookups!D$90)*(1+Lookups!C$20),AND(A10&gt;DA$5,YEAR(C10)&lt;&gt;Lookups!D$89),AY9*(1+Lookups!C$20))</f>
        <v>0</v>
      </c>
      <c r="AZ10" s="1" cm="1">
        <f t="array" ref="AZ10">_xlfn.IFS(OR(ISBLANK(Setup!K$91),Setup!K$91=0,AND(A10&gt;=DA$6,B10&gt;=DB$6),B10&lt;DB$5),0,AND(B10=DB$5,YEAR(C10)&gt;=Lookups!D$89),VLOOKUP(B10,Lookups!B$94:F$102,5),AND(B10=DB$5,YEAR(C10)&lt;Lookups!D$89),VLOOKUP(B10,Lookups!B$94:F$102,4),AND(B10&gt;DB$5,YEAR(C10)=Lookups!D$89),(AZ9*Lookups!D$90)*(1+Lookups!C$20),AND(B10&gt;DB$5,YEAR(C10)&lt;&gt;Lookups!D$89),AZ9*(1+Lookups!C$20))</f>
        <v>0</v>
      </c>
      <c r="BA10" s="65">
        <f>IF(OR(AY10&gt;0,AZ10&gt;0),(AY10+AZ10)*Lookups!D$120,0)</f>
        <v>0</v>
      </c>
      <c r="BB10" s="1" cm="1">
        <f t="array" ref="BB10">_xlfn.IFS(AND(A10&lt;DA$4,B10&lt;DB$4),0,OR(_xlfn.XOR(A10&gt;DA$6,B10&gt;DB$6),_xlfn.XOR(A10&gt;=DA$4,B10&gt;=DB$4)),IF(AP10-SUM(AW10,AY10:AZ10)&gt;0,AP10-SUM(AW10,AY10:AZ10),0),AQ10-SUM(AW10,AY10:AZ10)&gt;0, AQ10-SUM(AW10,AY10:AZ10),AQ10-SUM(AW10,AY10:AZ10)&lt;=0,0)</f>
        <v>0</v>
      </c>
      <c r="BD10" s="1" cm="1">
        <f t="array" ref="BD10">_xlfn.IFS(AND(A10&gt;=DA$6,B10&gt;=DB$6),0,AND(A10&gt;=DA$6,B10&gt;=Lookups!C$35),D10/VLOOKUP(B10,Lookups!C$37:D$67,2),A10&lt;Lookups!$C$35,0,A10&gt;=Lookups!C$35,D10/VLOOKUP(A10,Lookups!C$37:D$67,2))</f>
        <v>0</v>
      </c>
      <c r="BE10" s="1" cm="1">
        <f t="array" ref="BE10">_xlfn.IFS(AND(A10&gt;=DA$6,B10&gt;=DB$6),0,AND(B10&gt;=DB$6,A10&gt;=Lookups!C$35),F10/VLOOKUP(A10,Lookups!C$37:D$67,2),B10&lt;Lookups!$C$35,0,B10&gt;=Lookups!C$35,F10/VLOOKUP(B10,Lookups!C$37:D$67,2))</f>
        <v>0</v>
      </c>
      <c r="BF10" s="1" cm="1">
        <f t="array" ref="BF10">_xlfn.IFS($BB10&lt;=0,0,AND(A10&gt;=DA$4,B10&gt;=DB$4,$BB10*I10&lt;(BD10+BE10)),0,AND(A10&gt;=DA$4,B10&gt;=DB$4,H10&gt;=(BB10*I10)-BD10-BE10),(BB10*I10)-BD10-BE10,AND(A10&gt;=DA$4,B10&gt;=DB$4,H10&lt;(BB10*I10)-BD10-BE10),H10,AND(A10&gt;=DA$4,$BB10*I10&lt;(BD10)),0,AND(A10&gt;=DA$4,H10&gt;=(BB10*I10)-BD10),(BB10*I10)-BD10,AND(A10&gt;=DA$4,H10&lt;(BB10*I10)-BD10),H10,AND(B10&gt;=DB$4,$BB10*I10&lt;(BE10)),0,AND(B10&gt;=DB$4,H10&gt;=(BB10*I10)-BE10),(BB10*I10)-BE10,AND(B10&gt;=DB$4,H10&lt;(BB10*I10)-BE10),H10)</f>
        <v>0</v>
      </c>
      <c r="BG10" s="1">
        <f t="shared" si="9"/>
        <v>0</v>
      </c>
      <c r="BH10" s="1" cm="1">
        <f t="array" ref="BH10">_xlfn.IFS(OR(D10=0,A10&lt;DA$4),0,AND(A10&gt;=DA$4,B10&gt;=DB$4,D10&lt;BD10+($BF10*(D10/$H10))+(-$BP10*(D10/$H10))),D10,AND(A10&gt;=DA$4,B10&gt;=DB$4,$BB10&gt;$BG10),BD10+($BF10*(D10/$H10))+(-$BP10*(D10/$H10)),AND(A10&gt;=DA$4,B10&gt;=DB$4,OR(A10&gt;DA$6, B10&gt;DB$6),$AP10-SUM($AW10,$AY10:$AZ10)&lt;0),BD10+($BF10*(D10/$H10))+(-$BP10*(D10/$H10))+(BP10*(D10/$H10)),AND(A10&gt;=DA$4,B10&gt;=DB$4,$AQ10-SUM($AW10,$AY10:$AZ10)&lt;0),BD10+($BF10*(D10/$H10))+(-$BP10*(D10/$H10))+(BP10*(D10/$H10)),AND(A10&gt;=DA$4,D10&lt;BD10+$BF10-$BP10),D10,AND(A10&gt;=DA$4,$AP10-SUM($AW10,$AY10:$AZ10)&lt;0),BD10+($BF10*(D10/$H10))+(-$BP10*(D10/$H10))+(BP10*(D10/$H10)),A10&gt;=DA$4,BD10+$BF10-$BP10)</f>
        <v>0</v>
      </c>
      <c r="BI10" s="1" cm="1">
        <f t="array" ref="BI10">_xlfn.IFS(OR(F10=0,B10&lt;DB$4),0,AND(A10&gt;=DA$4,B10&gt;=DB$4,F10&lt;BE10+($BF10*(F10/$H10))+(-$BP10*(F10/$H10))),F10,AND(A10&gt;=DA$4,B10&gt;=DB$4,$BB10&gt;$BG10),BE10+($BF10*(F10/$H10))+(-$BP10*(F10/$H10)),AND(A10&gt;=DA$4,B10&gt;=DB$4,OR(A10&gt;DA$6, B10&gt;DB$6),$AP10-SUM($AW10,$AY10:$AZ10)&lt;0),BE10+($BF10*(F10/$H10))+(-$BP10*(F10/$H10))+(BP10*(F10/$H10)),AND(A10&gt;=DA$4,B10&gt;=DB$4,$AQ10-SUM($AW10,$AY10:$AZ10)&lt;0),BE10+($BF10*(F10/$H10))+(-$BP10*(F10/$H10))+(BP10*(F10/$H10)),AND(B10&gt;=DB$4,F10&lt;BE10+$BF10-$BP10),F10,AND(B10&gt;=DB$4,$AP10-SUM($AW10,$AY10:$AZ10)&lt;0),BE10+($BF10*(F10/$H10))+(-$BP10*(F10/$H10))+(BP10*(F10/$H10)),B10&gt;=DB$4,BE10+$BF10-$BP10)</f>
        <v>0</v>
      </c>
      <c r="BJ10" s="64" cm="1">
        <f t="array" ref="BJ10">IF(AW10+BA10+BG10&gt;0, AW10+BA10+BG10-_xlfn.IFS(AND(A10&gt;=65,B10&gt;=65),VLOOKUP(Setup!I$4,Lookups!C$133:F$136,4),OR(A10&gt;=65,B10&gt;=65),VLOOKUP(Setup!I$4,Lookups!C$133:E$136,3),AND(A10&lt;65,B10&lt;65),VLOOKUP(Setup!I$4,Lookups!C$133:D$136,2)),0)</f>
        <v>0</v>
      </c>
      <c r="BK10" s="1" cm="1">
        <f t="array" ref="BK10">IF(BJ10&gt;0,_xlfn.IFS(Setup!I$4=Lookups!D$109,-_xlfn.IFS($BJ10&gt;=Lookups!D$157, Lookups!F$157+($BJ10-Lookups!D$157)*Lookups!G$157,$BJ10&gt;=Lookups!D$156, Lookups!F$156+($BJ10-Lookups!D$156)*Lookups!G$156,$BJ10&gt;=Lookups!D$155, Lookups!F$155+($BJ10-Lookups!D$155)*Lookups!G$155,$BJ10&gt;=Lookups!D$154, Lookups!F$154+($BJ10-Lookups!D$154)*Lookups!G$154,$BJ10&gt;=Lookups!D$153, Lookups!F$153+($BJ10-Lookups!D$153)*Lookups!G$153,$BJ10&gt;=Lookups!D$152, Lookups!F$152+($BJ10-Lookups!D$152)*Lookups!G$152,$BJ10&lt;Lookups!D$152,$BJ10*Lookups!G$151),Setup!I$4=Lookups!D$110,-_xlfn.IFS($BJ10&gt;=Lookups!D$167, Lookups!F$167+($BJ10-Lookups!D$167)*Lookups!G$167,$BJ10&gt;=Lookups!D$166, Lookups!F$166+($BJ10-Lookups!D$166)*Lookups!G$166,$BJ10&gt;=Lookups!D$165, Lookups!F$165+($BJ10-Lookups!D$165)*Lookups!G$165,$BJ10&gt;=Lookups!D$164, Lookups!F$164+($BJ10-Lookups!D$164)*Lookups!G$164,$BJ10&gt;=Lookups!D$163, Lookups!F$163+($BJ10-Lookups!D$163)*Lookups!G$163,$BJ10&gt;=Lookups!D$162, Lookups!F$162+($BJ10-Lookups!D$162)*Lookups!G$162,$BJ10&lt;Lookups!D$162,$BJ10*Lookups!G$161),Setup!I$4=Lookups!D$111,-_xlfn.IFS($BJ10&gt;=Lookups!D$177, Lookups!F$177+($BJ10-Lookups!D$177)*Lookups!G$177,$BJ10&gt;=Lookups!D$176, Lookups!F$176+($BJ10-Lookups!D$176)*Lookups!G$176,$BJ10&gt;=Lookups!D$175, Lookups!F$175+($BJ10-Lookups!D$175)*Lookups!G$175,$BJ10&gt;=Lookups!D$174, Lookups!F$174+($BJ10-Lookups!D$174)*Lookups!G$174,$BJ10&gt;=Lookups!D$173, Lookups!F$173+($BJ10-Lookups!D$173)*Lookups!G$173,$BJ10&gt;=Lookups!D$172, Lookups!F$172+($BJ10-Lookups!D$172)*Lookups!G$172,$BJ10&lt;Lookups!D$172,$BJ10*Lookups!G$171), Setup!I$4=Lookups!D$112,-_xlfn.IFS($BJ10&gt;=Lookups!D$187, Lookups!F$187+($BJ10-Lookups!D$187)*Lookups!G$187,$BJ10&gt;=Lookups!D$186, Lookups!F$186+($BJ10-Lookups!D$186)*Lookups!G$186,$BJ10&gt;=Lookups!D$185, Lookups!F$185+($BJ10-Lookups!D$185)*Lookups!G$185,$BJ10&gt;=Lookups!D$184, Lookups!F$184+($BJ10-Lookups!D$184)*Lookups!G$184,$BJ10&gt;=Lookups!D$183, Lookups!F$183+($BJ10-Lookups!D$183)*Lookups!G$183,$BJ10&gt;=Lookups!D$182, Lookups!F$182+($BJ10-Lookups!D$182)*Lookups!G$182,$BJ10&lt;Lookups!D$182,$BJ10*Lookups!G$181)),0)</f>
        <v>0</v>
      </c>
      <c r="BL10" s="18">
        <f t="shared" si="10"/>
        <v>0</v>
      </c>
      <c r="BM10" s="134">
        <f t="shared" si="24"/>
        <v>0</v>
      </c>
      <c r="BN10" s="134" cm="1">
        <f t="array" aca="1" ref="BN10" ca="1">INDIRECT(Setup!I$6&amp;"!"&amp;"A"&amp;ROW())</f>
        <v>0</v>
      </c>
      <c r="BO10" s="134">
        <f t="shared" si="25"/>
        <v>0</v>
      </c>
      <c r="BP10" s="1">
        <f t="shared" si="11"/>
        <v>0</v>
      </c>
      <c r="BQ10" s="1">
        <f t="shared" si="26"/>
        <v>0</v>
      </c>
      <c r="BS10" s="1">
        <f t="shared" si="27"/>
        <v>0</v>
      </c>
      <c r="BT10" s="1" cm="1">
        <f t="array" ref="BT10">-IF(BS10&gt;0,_xlfn.IFS((AW10+BA10+BG10+BS10)&gt;=VLOOKUP(Setup!I$4,Lookups!C$210:E$213,3),BS10*Lookups!D$203,(AW10+BA10+BG10+BS10)&gt;=VLOOKUP(Setup!I$4,Lookups!C$210:E$213,2),BS10*Lookups!D$197,(AW10+BA10+BG10+BS10)&lt;VLOOKUP(Setup!I$4,Lookups!C$210:E$213,2),0),0)</f>
        <v>0</v>
      </c>
      <c r="BU10" s="18">
        <f t="shared" si="28"/>
        <v>0</v>
      </c>
      <c r="BV10" s="1">
        <f t="shared" si="29"/>
        <v>0</v>
      </c>
      <c r="BW10" s="1" cm="1">
        <f t="array" aca="1" ref="BW10" ca="1">INDIRECT(Setup!I$6&amp;"!"&amp;"A"&amp;ROW()+100)</f>
        <v>0</v>
      </c>
      <c r="BX10" s="1">
        <f t="shared" ca="1" si="15"/>
        <v>0</v>
      </c>
      <c r="BY10" s="1">
        <f t="shared" ca="1" si="16"/>
        <v>0</v>
      </c>
      <c r="CA10" s="1">
        <f t="shared" si="34"/>
        <v>0</v>
      </c>
      <c r="CC10" s="1" cm="1">
        <f t="array" ref="CC10">_xlfn.IFS(AND(A10&lt;$DA$4,B10&lt;$DB$4),0,AND(AND(A10&gt;=$DA$4,B10&gt;=$DB$4),AND(A10&lt;=$DA$6,B10&lt;=$DB$6),AND(BH10=0,BI10=0)),SUM(AW10,AY10:AZ10,BD10:BF10,BP10,BS10,CA10)-AQ10,AND(AND(A10&gt;=$DA$4,B10&gt;=$DB$4),AND(A10&lt;=$DA$6,B10&lt;=$DB$6)),SUM(AW10,AY10:AZ10,BD10:BF10,BS10,CA10)-AQ10,AND(OR(A10&gt;=$DA$4,B10&gt;=$DB$4),AND(BH10=0,BI10=0)),SUM(AW10,AY10:AZ10,BD10:BF10,BP10,BS10,CA10)-AP10,OR(A10&gt;=$DA$4,B10&gt;=$DB$4),SUM(AW10,AY10:AZ10,BD10:BF10,BS10,CA10)-AP10)</f>
        <v>0</v>
      </c>
      <c r="CD10" s="142" t="str">
        <f t="shared" si="30"/>
        <v/>
      </c>
    </row>
    <row r="11" spans="1:112" x14ac:dyDescent="0.3">
      <c r="A11" s="354">
        <f t="shared" si="31"/>
        <v>4</v>
      </c>
      <c r="B11" s="354">
        <f t="shared" si="32"/>
        <v>4</v>
      </c>
      <c r="C11" s="359">
        <f t="shared" si="33"/>
        <v>1462</v>
      </c>
      <c r="D11" s="326" cm="1">
        <f t="array" ref="D11">_xlfn.IFS(AND(A11&gt;DA$6,B11&gt;DB$6),0,AND(A11&gt;DA$3,A11&lt;=DA$4),D10*(1+DH$1),OR(A11&gt;DA$6,A11&gt;DA$4),(D10-BH10)*(1+DH$2),A11&lt;=DA$4,(D10*(1+DH$1))+(D$4))</f>
        <v>0</v>
      </c>
      <c r="E11" s="375"/>
      <c r="F11" s="326" cm="1">
        <f t="array" ref="F11">_xlfn.IFS(AND(A11&gt;DA$6,B11&gt;DB$6),0,AND(B11&gt;DB$3,B11&lt;=DB$4),F10*(1+DH$1),OR(B11&gt;DB$6,B11&gt;DB$4),(F10-BI10)*(1+DH$2),B11&lt;=DB$4,(F10*(1+DH$1))+(F$4))</f>
        <v>0</v>
      </c>
      <c r="G11" s="375"/>
      <c r="H11" s="1">
        <f t="shared" si="17"/>
        <v>0</v>
      </c>
      <c r="I11" s="2">
        <f t="shared" si="2"/>
        <v>0</v>
      </c>
      <c r="J11" s="14">
        <f t="shared" ref="J11:J51" si="35">SUM(E11,G11)</f>
        <v>0</v>
      </c>
      <c r="L11" s="402" cm="1">
        <f t="array" ref="L11">_xlfn.IFS(AND(A11&gt;DA$6,B11&gt;DB$6),0,A11&lt;DA$6,0,A11=DA$6,L$4,AND(A11&gt;DA$6,B11&lt;=DB$4),L10*(1+DH$1),AND(A11&gt;DA$6,B11&gt;DB$4),IF(Y10=0,0,(L10-((L10/Y10)*BY10))*(1+DH$2)))</f>
        <v>0</v>
      </c>
      <c r="M11" s="402" cm="1">
        <f t="array" ref="M11">_xlfn.IFS(AND(A11&gt;DA$6,B11&gt;DB$6),0,B11&lt;DB$6,0,B11=DB$6,M$4,AND(B11&gt;DB$6,A11&lt;=DA$4),M10*(1+DH$1),AND(A11&gt;DA$4,B11&gt;DB$6),IF(Y10=0,0,(M10-((M10/Y10)*BY10))*(1+DH$2)))</f>
        <v>0</v>
      </c>
      <c r="N11" s="327"/>
      <c r="O11" s="327" cm="1">
        <f t="array" ref="O11">_xlfn.IFS(OR(ISBLANK(Setup!C$63),Setup!C$63&gt;YEAR(C11),AND(A11&gt;DA$6,B11&gt;DB$6),ISBLANK(Y10)),0,Setup!C$63=YEAR(C11),Setup!C$62,AND(OR(A11&lt;=DA$4,B11&lt;=DB$4),Setup!C$63&lt;YEAR(C11)),O10*(1+DH$1),AND(A11&gt;DA$4,B11&gt;DB$4,Setup!C$63&lt;YEAR(C11)),IF(Y10=0,0,(O10-((O10/Y10)*BY10))*(1+DH$2)))</f>
        <v>0</v>
      </c>
      <c r="P11" s="327" cm="1">
        <f t="array" ref="P11">_xlfn.IFS(OR(ISBLANK(Setup!C$67),Setup!C$67&gt;YEAR(C11),AND(A11&gt;DA$6,B11&gt;DB$6)),0,Setup!C$67=YEAR(C11),Setup!C$66,AND(OR(A11&lt;=DA$4,B11&lt;=DB$4),Setup!C$67&lt;YEAR(C11)),P10*(1+DH$1),AND(A11&gt;DA$4,B11&gt;DB$4,Setup!C$67&lt;YEAR(C11)),IF(Y10=0,0,(P10-((P10/Y10)*BY10))*(1+DH$2)))</f>
        <v>0</v>
      </c>
      <c r="Q11" s="327" cm="1">
        <f t="array" ref="Q11">_xlfn.IFS(OR(ISBLANK(Setup!C$71),Setup!C$71&gt;YEAR(C11),AND(A11&gt;DA$6,B11&gt;DB$6)),0,Setup!C$71=YEAR(C11),Setup!C$70,AND(OR(A11&lt;=DA$4,B11&lt;=DB$4),Setup!C$71&lt;YEAR(C11)),Q10*(1+DH$1),AND(A11&gt;DA$4,B11&gt;DB$4,Setup!C$71&lt;YEAR(C11)),IF(Y10=0,0,(Q10-((Q10/Y10)*BY10))*(1+DH$2)))</f>
        <v>0</v>
      </c>
      <c r="R11" s="327" cm="1">
        <f t="array" ref="R11">_xlfn.IFS(OR(ISBLANK(Setup!C$75),Setup!C$75&gt;YEAR(C11),AND(A11&gt;DA$6,B11&gt;DB$6)),0,Setup!C$75=YEAR(C11),Setup!C$74,AND(OR(A11&lt;=DA$4,B11&lt;=DB$4),Setup!C$75&lt;YEAR(C11)),R10*(1+DH$1),AND(A11&gt;DA$4,B11&gt;DB$4,Setup!C$75&lt;YEAR(C11)),IF(Y10=0,0,(R10-((R10/Y10)*BY10))*(1+DH$2)))</f>
        <v>0</v>
      </c>
      <c r="S11" s="327"/>
      <c r="T11" s="326" cm="1">
        <f t="array" ref="T11">_xlfn.IFS(AND($A11&gt;$DA$6,$B11&gt;$DB$6),0,AND($W$2=$DA$2,$A11&gt;$DA$4),IF($Y10=0,0,(T10-((T10/$Y10)*$BY10))*(1+$DH$2)),AND($W$2=$DB$2,$B11&gt;$DB$4),IF($Y10=0,0,(T10-((T10/$Y10)*$BY10))*(1+$DH$2)),AND($W$2=$DA$2,OR($A11&gt;$DA$3,$A11&gt;$DA$6)),(T10*(1+$DH$1)),AND($W$2=$DB$2,OR($B11&gt;$DB$3,$B11&gt;$DB$6)),(T10*(1+$DH$1)),AND($W$2=$DA$2,$A11&lt;=$DA$3,$A11&lt;=$DA$4,$A11&lt;=$DA$5),(T10*(1+$DH$1))+(T$4),AND($W$2=$DB$2,$B11&lt;=$DB$3,$B11&lt;=$DB$4,$B11&lt;=$DB$5),(T10*(1+$DH$1))+(T$4))</f>
        <v>0</v>
      </c>
      <c r="U11" s="326" cm="1">
        <f t="array" ref="U11">_xlfn.IFS(AND($A11&gt;$DA$6,$B11&gt;$DB$6),0,AND($W$2=$DA$2,$A11&gt;$DA$4),IF($Y10=0,0,(U10-((U10/$Y10)*$BY10))*(1+$DH$2)),AND($W$2=$DB$2,$B11&gt;$DB$4),IF($Y10=0,0,(U10-((U10/$Y10)*$BY10))*(1+$DH$2)),AND($W$2=$DA$2,OR($A11&gt;$DA$3,$A11&gt;$DA$6)),(U10*(1+$DH$1)),AND($W$2=$DB$2,OR($B11&gt;$DB$3,$B11&gt;$DB$6)),(U10*(1+$DH$1)),AND($W$2=$DA$2,$A11&lt;=$DA$3,$A11&lt;=$DA$4,$A11&lt;=$DA$5),(U10*(1+$DH$1))+(U$4),AND($W$2=$DB$2,$B11&lt;=$DB$3,$B11&lt;=$DB$4,$B11&lt;=$DB$5),(U10*(1+$DH$1))+(U$4))</f>
        <v>0</v>
      </c>
      <c r="V11" s="326" cm="1">
        <f t="array" ref="V11">_xlfn.IFS(AND($A11&gt;$DA$6,$B11&gt;$DB$6),0,AND($W$2=$DA$2,$A11&gt;$DA$4),IF($Y10=0,0,(V10-((V10/$Y10)*$BY10))*(1+$DH$2)),AND($W$2=$DB$2,$B11&gt;$DB$4),IF($Y10=0,0,(V10-((V10/$Y10)*$BY10))*(1+$DH$2)),AND($W$2=$DA$2,OR($A11&gt;$DA$3,$A11&gt;$DA$6)),(V10*(1+$DH$1)),AND($W$2=$DB$2,OR($B11&gt;$DB$3,$B11&gt;$DB$6)),(V10*(1+$DH$1)),AND($W$2=$DA$2,$A11&lt;=$DA$3,$A11&lt;=$DA$4,$A11&lt;=$DA$5),(V10*(1+$DH$1))+(V$4),AND($W$2=$DB$2,$B11&lt;=$DB$3,$B11&lt;=$DB$4,$B11&lt;=$DB$5),(V10*(1+$DH$1))+(V$4))</f>
        <v>0</v>
      </c>
      <c r="W11" s="326" cm="1">
        <f t="array" ref="W11">_xlfn.IFS(AND($A11&gt;$DA$6,$B11&gt;$DB$6),0,AND($W$2=$DA$2,$A11&gt;$DA$4),IF($Y10=0,0,(W10-((W10/$Y10)*$BY10))*(1+$DH$2)),AND($W$2=$DB$2,$B11&gt;$DB$4),IF($Y10=0,0,(W10-((W10/$Y10)*$BY10))*(1+$DH$2)),AND($W$2=$DA$2,OR($A11&gt;$DA$3,$A11&gt;$DA$6)),(W10*(1+$DH$1)),AND($W$2=$DB$2,OR($B11&gt;$DB$3,$B11&gt;$DB$6)),(W10*(1+$DH$1)),AND($W$2=$DA$2,$A11&lt;=$DA$3,$A11&lt;=$DA$4,$A11&lt;=$DA$5),(W10*(1+$DH$1))+(W$4),AND($W$2=$DB$2,$B11&lt;=$DB$3,$B11&lt;=$DB$4,$B11&lt;=$DB$5),(W10*(1+$DH$1))+(W$4))</f>
        <v>0</v>
      </c>
      <c r="Y11" s="1">
        <f t="shared" si="18"/>
        <v>0</v>
      </c>
      <c r="Z11" s="2">
        <f t="shared" si="19"/>
        <v>0</v>
      </c>
      <c r="AA11" s="375"/>
      <c r="AC11" s="326" cm="1">
        <f t="array" ref="AC11">_xlfn.IFS(AND(A11&gt;DA$6,B11&gt;DB$6),0,AND(A11&gt;DA$4,B11&gt;DB$4),IF(AG10=0,0,(AC10-((AC10/AG10)*CA10))*(1+DH$2)),OR(A11&gt;DA$3,A11&gt;DA$6),AC10*(1+DH$1),A11&gt;DA$4,(AC10-CA10)*(1+DH$2),AND(A11&lt;=DA$3,A11&lt;=DA$4,A11&lt;=DA$6),(AC10*(1+DH$1))+(AC$4))</f>
        <v>0</v>
      </c>
      <c r="AD11" s="375"/>
      <c r="AE11" s="326" cm="1">
        <f t="array" ref="AE11">_xlfn.IFS(AND(A11&gt;DA$6,B11&gt;DB$6),0,AND(A11&gt;DA$4,B11&gt;DB$4),IF(AG10=0,0,(AE10-((AE10/AG10)*CA10))*(1+DH$2)),OR(B11&gt;DB$3,B11&gt;DB$6),AE10*(1+DH$1),B11&gt;DB$4,(AE10-CA10)*(1+DH$2),AND(B11&lt;=DB$3,B11&lt;=DB$4,B11&lt;=DB$6),(AE10*(1+DH$1))+(AE$4))</f>
        <v>0</v>
      </c>
      <c r="AF11" s="375"/>
      <c r="AG11" s="1">
        <f t="shared" si="5"/>
        <v>0</v>
      </c>
      <c r="AH11" s="2">
        <f t="shared" si="20"/>
        <v>0</v>
      </c>
      <c r="AI11" s="14">
        <f t="shared" si="6"/>
        <v>0</v>
      </c>
      <c r="AK11" s="1">
        <f t="shared" si="21"/>
        <v>0</v>
      </c>
      <c r="AL11" s="14">
        <f t="shared" si="22"/>
        <v>0</v>
      </c>
      <c r="AM11" s="14" t="str">
        <f t="shared" si="23"/>
        <v/>
      </c>
      <c r="AO11" s="15">
        <f t="shared" si="7"/>
        <v>0</v>
      </c>
      <c r="AP11" s="1">
        <f>IF(AND(B11&gt;=$DB$6,A11&gt;=$DA$6),0,AP10*(1+Lookups!C$12))</f>
        <v>0</v>
      </c>
      <c r="AQ11" s="1">
        <f>IF(AND(B11&gt;=$DB$6,A11&gt;=$DA$6),0,AQ10*(1+Lookups!C$12))</f>
        <v>0</v>
      </c>
      <c r="AS11" s="1" cm="1">
        <f t="array" ref="AS11">_xlfn.IFS(OR(AS$6="",AND(A11&gt;=DA$6,B11&gt;=DB$6),AND(A11&lt;DA$4,B11&lt;DB$4)),0,AND(A11=DA$4,DA$4&lt;=DB$4),AS$6,AND(B11=DB$4,DA$4&gt;=DB$4),AS$6,OR(A11&gt;DA$4,B11&gt;DB$4),AS10*(1+Setup!C$103))</f>
        <v>0</v>
      </c>
      <c r="AT11" s="1" cm="1">
        <f t="array" ref="AT11">_xlfn.IFS(OR(AT$6="",AND(A11&gt;=DA$6,B11&gt;=DB$6),AND(A11&lt;DA$4,B11&lt;DB$4)),0,AND(A11=DA$4,DA$4&lt;=DB$4),AT$6,AND(B11=DB$4,DA$4&gt;=DB$4),AT$6,OR(A11&gt;DA$4,B11&gt;DB$4),AT10*(1+Setup!C$103))</f>
        <v>0</v>
      </c>
      <c r="AU11" s="1" cm="1">
        <f t="array" ref="AU11">_xlfn.IFS(OR(AU$6="",AND(A11&gt;=DA$6,B11&gt;=DB$6),AND(A11&lt;DA$4,B11&lt;DB$4)),0,AND(A11=DA$4,DA$4&lt;=DB$4),AU$6,AND(B11=DB$4,DA$4&gt;=DB$4),AU$6,OR(A11&gt;DA$4,B11&gt;DB$4),AU10*(1+Setup!C$103))</f>
        <v>0</v>
      </c>
      <c r="AV11" s="1" cm="1">
        <f t="array" ref="AV11">_xlfn.IFS(OR(AV$6="",AND(A11&gt;=DA$6,B11&gt;=DB$6),AND(A11&lt;DA$4,B11&lt;DB$4)),0,AND(A11=DA$4,DA$4&lt;=DB$4),AV$6,AND(B11=DB$4,DA$4&gt;=DB$4),AV$6,OR(A11&gt;DA$4,B11&gt;DB$4),AV10*(1+Setup!C$103))</f>
        <v>0</v>
      </c>
      <c r="AW11" s="1">
        <f t="shared" si="8"/>
        <v>0</v>
      </c>
      <c r="AY11" s="1" cm="1">
        <f t="array" ref="AY11">_xlfn.IFS(OR(AND(A11&gt;=DA$6,B11&gt;=DB$6),A11&lt;DA$5),0,AND(A11=DA$5,YEAR(C11)&gt;=Lookups!D$89),VLOOKUP(A11,Lookups!B$94:F$102,3),AND(A11=DA$5,YEAR(C11)&lt;Lookups!D$89),VLOOKUP(A11,Lookups!B$94:F$102,2),AND(A11&gt;DA$5,YEAR(C11)=Lookups!D$89),(AY10*Lookups!D$90)*(1+Lookups!C$20),AND(A11&gt;DA$5,YEAR(C11)&lt;&gt;Lookups!D$89),AY10*(1+Lookups!C$20))</f>
        <v>0</v>
      </c>
      <c r="AZ11" s="1" cm="1">
        <f t="array" ref="AZ11">_xlfn.IFS(OR(ISBLANK(Setup!K$91),Setup!K$91=0,AND(A11&gt;=DA$6,B11&gt;=DB$6),B11&lt;DB$5),0,AND(B11=DB$5,YEAR(C11)&gt;=Lookups!D$89),VLOOKUP(B11,Lookups!B$94:F$102,5),AND(B11=DB$5,YEAR(C11)&lt;Lookups!D$89),VLOOKUP(B11,Lookups!B$94:F$102,4),AND(B11&gt;DB$5,YEAR(C11)=Lookups!D$89),(AZ10*Lookups!D$90)*(1+Lookups!C$20),AND(B11&gt;DB$5,YEAR(C11)&lt;&gt;Lookups!D$89),AZ10*(1+Lookups!C$20))</f>
        <v>0</v>
      </c>
      <c r="BA11" s="65">
        <f>IF(OR(AY11&gt;0,AZ11&gt;0),(AY11+AZ11)*Lookups!D$120,0)</f>
        <v>0</v>
      </c>
      <c r="BB11" s="1" cm="1">
        <f t="array" ref="BB11">_xlfn.IFS(AND(A11&lt;DA$4,B11&lt;DB$4),0,OR(_xlfn.XOR(A11&gt;DA$6,B11&gt;DB$6),_xlfn.XOR(A11&gt;=DA$4,B11&gt;=DB$4)),IF(AP11-SUM(AW11,AY11:AZ11)&gt;0,AP11-SUM(AW11,AY11:AZ11),0),AQ11-SUM(AW11,AY11:AZ11)&gt;0, AQ11-SUM(AW11,AY11:AZ11),AQ11-SUM(AW11,AY11:AZ11)&lt;=0,0)</f>
        <v>0</v>
      </c>
      <c r="BD11" s="1" cm="1">
        <f t="array" ref="BD11">_xlfn.IFS(AND(A11&gt;=DA$6,B11&gt;=DB$6),0,AND(A11&gt;=DA$6,B11&gt;=Lookups!C$35),D11/VLOOKUP(B11,Lookups!C$37:D$67,2),A11&lt;Lookups!$C$35,0,A11&gt;=Lookups!C$35,D11/VLOOKUP(A11,Lookups!C$37:D$67,2))</f>
        <v>0</v>
      </c>
      <c r="BE11" s="1" cm="1">
        <f t="array" ref="BE11">_xlfn.IFS(AND(A11&gt;=DA$6,B11&gt;=DB$6),0,AND(B11&gt;=DB$6,A11&gt;=Lookups!C$35),F11/VLOOKUP(A11,Lookups!C$37:D$67,2),B11&lt;Lookups!$C$35,0,B11&gt;=Lookups!C$35,F11/VLOOKUP(B11,Lookups!C$37:D$67,2))</f>
        <v>0</v>
      </c>
      <c r="BF11" s="1" cm="1">
        <f t="array" ref="BF11">_xlfn.IFS($BB11&lt;=0,0,AND(A11&gt;=DA$4,B11&gt;=DB$4,$BB11*I11&lt;(BD11+BE11)),0,AND(A11&gt;=DA$4,B11&gt;=DB$4,H11&gt;=(BB11*I11)-BD11-BE11),(BB11*I11)-BD11-BE11,AND(A11&gt;=DA$4,B11&gt;=DB$4,H11&lt;(BB11*I11)-BD11-BE11),H11,AND(A11&gt;=DA$4,$BB11*I11&lt;(BD11)),0,AND(A11&gt;=DA$4,H11&gt;=(BB11*I11)-BD11),(BB11*I11)-BD11,AND(A11&gt;=DA$4,H11&lt;(BB11*I11)-BD11),H11,AND(B11&gt;=DB$4,$BB11*I11&lt;(BE11)),0,AND(B11&gt;=DB$4,H11&gt;=(BB11*I11)-BE11),(BB11*I11)-BE11,AND(B11&gt;=DB$4,H11&lt;(BB11*I11)-BE11),H11)</f>
        <v>0</v>
      </c>
      <c r="BG11" s="1">
        <f t="shared" si="9"/>
        <v>0</v>
      </c>
      <c r="BH11" s="1" cm="1">
        <f t="array" ref="BH11">_xlfn.IFS(OR(D11=0,A11&lt;DA$4),0,AND(A11&gt;=DA$4,B11&gt;=DB$4,D11&lt;BD11+($BF11*(D11/$H11))+(-$BP11*(D11/$H11))),D11,AND(A11&gt;=DA$4,B11&gt;=DB$4,$BB11&gt;$BG11),BD11+($BF11*(D11/$H11))+(-$BP11*(D11/$H11)),AND(A11&gt;=DA$4,B11&gt;=DB$4,OR(A11&gt;DA$6, B11&gt;DB$6),$AP11-SUM($AW11,$AY11:$AZ11)&lt;0),BD11+($BF11*(D11/$H11))+(-$BP11*(D11/$H11))+(BP11*(D11/$H11)),AND(A11&gt;=DA$4,B11&gt;=DB$4,$AQ11-SUM($AW11,$AY11:$AZ11)&lt;0),BD11+($BF11*(D11/$H11))+(-$BP11*(D11/$H11))+(BP11*(D11/$H11)),AND(A11&gt;=DA$4,D11&lt;BD11+$BF11-$BP11),D11,AND(A11&gt;=DA$4,$AP11-SUM($AW11,$AY11:$AZ11)&lt;0),BD11+($BF11*(D11/$H11))+(-$BP11*(D11/$H11))+(BP11*(D11/$H11)),A11&gt;=DA$4,BD11+$BF11-$BP11)</f>
        <v>0</v>
      </c>
      <c r="BI11" s="1" cm="1">
        <f t="array" ref="BI11">_xlfn.IFS(OR(F11=0,B11&lt;DB$4),0,AND(A11&gt;=DA$4,B11&gt;=DB$4,F11&lt;BE11+($BF11*(F11/$H11))+(-$BP11*(F11/$H11))),F11,AND(A11&gt;=DA$4,B11&gt;=DB$4,$BB11&gt;$BG11),BE11+($BF11*(F11/$H11))+(-$BP11*(F11/$H11)),AND(A11&gt;=DA$4,B11&gt;=DB$4,OR(A11&gt;DA$6, B11&gt;DB$6),$AP11-SUM($AW11,$AY11:$AZ11)&lt;0),BE11+($BF11*(F11/$H11))+(-$BP11*(F11/$H11))+(BP11*(F11/$H11)),AND(A11&gt;=DA$4,B11&gt;=DB$4,$AQ11-SUM($AW11,$AY11:$AZ11)&lt;0),BE11+($BF11*(F11/$H11))+(-$BP11*(F11/$H11))+(BP11*(F11/$H11)),AND(B11&gt;=DB$4,F11&lt;BE11+$BF11-$BP11),F11,AND(B11&gt;=DB$4,$AP11-SUM($AW11,$AY11:$AZ11)&lt;0),BE11+($BF11*(F11/$H11))+(-$BP11*(F11/$H11))+(BP11*(F11/$H11)),B11&gt;=DB$4,BE11+$BF11-$BP11)</f>
        <v>0</v>
      </c>
      <c r="BJ11" s="64" cm="1">
        <f t="array" ref="BJ11">IF(AW11+BA11+BG11&gt;0, AW11+BA11+BG11-_xlfn.IFS(AND(A11&gt;=65,B11&gt;=65),VLOOKUP(Setup!I$4,Lookups!C$133:F$136,4),OR(A11&gt;=65,B11&gt;=65),VLOOKUP(Setup!I$4,Lookups!C$133:E$136,3),AND(A11&lt;65,B11&lt;65),VLOOKUP(Setup!I$4,Lookups!C$133:D$136,2)),0)</f>
        <v>0</v>
      </c>
      <c r="BK11" s="1" cm="1">
        <f t="array" ref="BK11">IF(BJ11&gt;0,_xlfn.IFS(Setup!I$4=Lookups!D$109,-_xlfn.IFS($BJ11&gt;=Lookups!D$157, Lookups!F$157+($BJ11-Lookups!D$157)*Lookups!G$157,$BJ11&gt;=Lookups!D$156, Lookups!F$156+($BJ11-Lookups!D$156)*Lookups!G$156,$BJ11&gt;=Lookups!D$155, Lookups!F$155+($BJ11-Lookups!D$155)*Lookups!G$155,$BJ11&gt;=Lookups!D$154, Lookups!F$154+($BJ11-Lookups!D$154)*Lookups!G$154,$BJ11&gt;=Lookups!D$153, Lookups!F$153+($BJ11-Lookups!D$153)*Lookups!G$153,$BJ11&gt;=Lookups!D$152, Lookups!F$152+($BJ11-Lookups!D$152)*Lookups!G$152,$BJ11&lt;Lookups!D$152,$BJ11*Lookups!G$151),Setup!I$4=Lookups!D$110,-_xlfn.IFS($BJ11&gt;=Lookups!D$167, Lookups!F$167+($BJ11-Lookups!D$167)*Lookups!G$167,$BJ11&gt;=Lookups!D$166, Lookups!F$166+($BJ11-Lookups!D$166)*Lookups!G$166,$BJ11&gt;=Lookups!D$165, Lookups!F$165+($BJ11-Lookups!D$165)*Lookups!G$165,$BJ11&gt;=Lookups!D$164, Lookups!F$164+($BJ11-Lookups!D$164)*Lookups!G$164,$BJ11&gt;=Lookups!D$163, Lookups!F$163+($BJ11-Lookups!D$163)*Lookups!G$163,$BJ11&gt;=Lookups!D$162, Lookups!F$162+($BJ11-Lookups!D$162)*Lookups!G$162,$BJ11&lt;Lookups!D$162,$BJ11*Lookups!G$161),Setup!I$4=Lookups!D$111,-_xlfn.IFS($BJ11&gt;=Lookups!D$177, Lookups!F$177+($BJ11-Lookups!D$177)*Lookups!G$177,$BJ11&gt;=Lookups!D$176, Lookups!F$176+($BJ11-Lookups!D$176)*Lookups!G$176,$BJ11&gt;=Lookups!D$175, Lookups!F$175+($BJ11-Lookups!D$175)*Lookups!G$175,$BJ11&gt;=Lookups!D$174, Lookups!F$174+($BJ11-Lookups!D$174)*Lookups!G$174,$BJ11&gt;=Lookups!D$173, Lookups!F$173+($BJ11-Lookups!D$173)*Lookups!G$173,$BJ11&gt;=Lookups!D$172, Lookups!F$172+($BJ11-Lookups!D$172)*Lookups!G$172,$BJ11&lt;Lookups!D$172,$BJ11*Lookups!G$171), Setup!I$4=Lookups!D$112,-_xlfn.IFS($BJ11&gt;=Lookups!D$187, Lookups!F$187+($BJ11-Lookups!D$187)*Lookups!G$187,$BJ11&gt;=Lookups!D$186, Lookups!F$186+($BJ11-Lookups!D$186)*Lookups!G$186,$BJ11&gt;=Lookups!D$185, Lookups!F$185+($BJ11-Lookups!D$185)*Lookups!G$185,$BJ11&gt;=Lookups!D$184, Lookups!F$184+($BJ11-Lookups!D$184)*Lookups!G$184,$BJ11&gt;=Lookups!D$183, Lookups!F$183+($BJ11-Lookups!D$183)*Lookups!G$183,$BJ11&gt;=Lookups!D$182, Lookups!F$182+($BJ11-Lookups!D$182)*Lookups!G$182,$BJ11&lt;Lookups!D$182,$BJ11*Lookups!G$181)),0)</f>
        <v>0</v>
      </c>
      <c r="BL11" s="18">
        <f t="shared" si="10"/>
        <v>0</v>
      </c>
      <c r="BM11" s="134">
        <f t="shared" si="24"/>
        <v>0</v>
      </c>
      <c r="BN11" s="134" cm="1">
        <f t="array" aca="1" ref="BN11" ca="1">INDIRECT(Setup!I$6&amp;"!"&amp;"A"&amp;ROW())</f>
        <v>0</v>
      </c>
      <c r="BO11" s="134">
        <f t="shared" si="25"/>
        <v>0</v>
      </c>
      <c r="BP11" s="1">
        <f t="shared" si="11"/>
        <v>0</v>
      </c>
      <c r="BQ11" s="1">
        <f t="shared" si="26"/>
        <v>0</v>
      </c>
      <c r="BS11" s="1">
        <f t="shared" si="27"/>
        <v>0</v>
      </c>
      <c r="BT11" s="1" cm="1">
        <f t="array" ref="BT11">-IF(BS11&gt;0,_xlfn.IFS((AW11+BA11+BG11+BS11)&gt;=VLOOKUP(Setup!I$4,Lookups!C$210:E$213,3),BS11*Lookups!D$203,(AW11+BA11+BG11+BS11)&gt;=VLOOKUP(Setup!I$4,Lookups!C$210:E$213,2),BS11*Lookups!D$197,(AW11+BA11+BG11+BS11)&lt;VLOOKUP(Setup!I$4,Lookups!C$210:E$213,2),0),0)</f>
        <v>0</v>
      </c>
      <c r="BU11" s="18">
        <f t="shared" si="28"/>
        <v>0</v>
      </c>
      <c r="BV11" s="1">
        <f t="shared" si="29"/>
        <v>0</v>
      </c>
      <c r="BW11" s="1" cm="1">
        <f t="array" aca="1" ref="BW11" ca="1">INDIRECT(Setup!I$6&amp;"!"&amp;"A"&amp;ROW()+100)</f>
        <v>0</v>
      </c>
      <c r="BX11" s="1">
        <f t="shared" ca="1" si="15"/>
        <v>0</v>
      </c>
      <c r="BY11" s="1">
        <f t="shared" ca="1" si="16"/>
        <v>0</v>
      </c>
      <c r="CA11" s="1">
        <f t="shared" si="34"/>
        <v>0</v>
      </c>
      <c r="CC11" s="1" cm="1">
        <f t="array" ref="CC11">_xlfn.IFS(AND(A11&lt;$DA$4,B11&lt;$DB$4),0,AND(AND(A11&gt;=$DA$4,B11&gt;=$DB$4),AND(A11&lt;=$DA$6,B11&lt;=$DB$6),AND(BH11=0,BI11=0)),SUM(AW11,AY11:AZ11,BD11:BF11,BP11,BS11,CA11)-AQ11,AND(AND(A11&gt;=$DA$4,B11&gt;=$DB$4),AND(A11&lt;=$DA$6,B11&lt;=$DB$6)),SUM(AW11,AY11:AZ11,BD11:BF11,BS11,CA11)-AQ11,AND(OR(A11&gt;=$DA$4,B11&gt;=$DB$4),AND(BH11=0,BI11=0)),SUM(AW11,AY11:AZ11,BD11:BF11,BP11,BS11,CA11)-AP11,OR(A11&gt;=$DA$4,B11&gt;=$DB$4),SUM(AW11,AY11:AZ11,BD11:BF11,BS11,CA11)-AP11)</f>
        <v>0</v>
      </c>
      <c r="CD11" s="142" t="str">
        <f t="shared" si="30"/>
        <v/>
      </c>
    </row>
    <row r="12" spans="1:112" x14ac:dyDescent="0.3">
      <c r="A12" s="354">
        <f t="shared" si="31"/>
        <v>5</v>
      </c>
      <c r="B12" s="354">
        <f t="shared" si="32"/>
        <v>5</v>
      </c>
      <c r="C12" s="359">
        <f t="shared" si="33"/>
        <v>1828</v>
      </c>
      <c r="D12" s="326" cm="1">
        <f t="array" ref="D12">_xlfn.IFS(AND(A12&gt;DA$6,B12&gt;DB$6),0,AND(A12&gt;DA$3,A12&lt;=DA$4),D11*(1+DH$1),OR(A12&gt;DA$6,A12&gt;DA$4),(D11-BH11)*(1+DH$2),A12&lt;=DA$4,(D11*(1+DH$1))+(D$4))</f>
        <v>0</v>
      </c>
      <c r="E12" s="375"/>
      <c r="F12" s="326" cm="1">
        <f t="array" ref="F12">_xlfn.IFS(AND(A12&gt;DA$6,B12&gt;DB$6),0,AND(B12&gt;DB$3,B12&lt;=DB$4),F11*(1+DH$1),OR(B12&gt;DB$6,B12&gt;DB$4),(F11-BI11)*(1+DH$2),B12&lt;=DB$4,(F11*(1+DH$1))+(F$4))</f>
        <v>0</v>
      </c>
      <c r="G12" s="375"/>
      <c r="H12" s="1">
        <f t="shared" si="17"/>
        <v>0</v>
      </c>
      <c r="I12" s="2">
        <f t="shared" si="2"/>
        <v>0</v>
      </c>
      <c r="J12" s="14">
        <f t="shared" si="35"/>
        <v>0</v>
      </c>
      <c r="L12" s="402" cm="1">
        <f t="array" ref="L12">_xlfn.IFS(AND(A12&gt;DA$6,B12&gt;DB$6),0,A12&lt;DA$6,0,A12=DA$6,L$4,AND(A12&gt;DA$6,B12&lt;=DB$4),L11*(1+DH$1),AND(A12&gt;DA$6,B12&gt;DB$4),IF(Y11=0,0,(L11-((L11/Y11)*BY11))*(1+DH$2)))</f>
        <v>0</v>
      </c>
      <c r="M12" s="402" cm="1">
        <f t="array" ref="M12">_xlfn.IFS(AND(A12&gt;DA$6,B12&gt;DB$6),0,B12&lt;DB$6,0,B12=DB$6,M$4,AND(B12&gt;DB$6,A12&lt;=DA$4),M11*(1+DH$1),AND(A12&gt;DA$4,B12&gt;DB$6),IF(Y11=0,0,(M11-((M11/Y11)*BY11))*(1+DH$2)))</f>
        <v>0</v>
      </c>
      <c r="N12" s="327"/>
      <c r="O12" s="327" cm="1">
        <f t="array" ref="O12">_xlfn.IFS(OR(ISBLANK(Setup!C$63),Setup!C$63&gt;YEAR(C12),AND(A12&gt;DA$6,B12&gt;DB$6),ISBLANK(Y11)),0,Setup!C$63=YEAR(C12),Setup!C$62,AND(OR(A12&lt;=DA$4,B12&lt;=DB$4),Setup!C$63&lt;YEAR(C12)),O11*(1+DH$1),AND(A12&gt;DA$4,B12&gt;DB$4,Setup!C$63&lt;YEAR(C12)),IF(Y11=0,0,(O11-((O11/Y11)*BY11))*(1+DH$2)))</f>
        <v>0</v>
      </c>
      <c r="P12" s="327" cm="1">
        <f t="array" ref="P12">_xlfn.IFS(OR(ISBLANK(Setup!C$67),Setup!C$67&gt;YEAR(C12),AND(A12&gt;DA$6,B12&gt;DB$6)),0,Setup!C$67=YEAR(C12),Setup!C$66,AND(OR(A12&lt;=DA$4,B12&lt;=DB$4),Setup!C$67&lt;YEAR(C12)),P11*(1+DH$1),AND(A12&gt;DA$4,B12&gt;DB$4,Setup!C$67&lt;YEAR(C12)),IF(Y11=0,0,(P11-((P11/Y11)*BY11))*(1+DH$2)))</f>
        <v>0</v>
      </c>
      <c r="Q12" s="327" cm="1">
        <f t="array" ref="Q12">_xlfn.IFS(OR(ISBLANK(Setup!C$71),Setup!C$71&gt;YEAR(C12),AND(A12&gt;DA$6,B12&gt;DB$6)),0,Setup!C$71=YEAR(C12),Setup!C$70,AND(OR(A12&lt;=DA$4,B12&lt;=DB$4),Setup!C$71&lt;YEAR(C12)),Q11*(1+DH$1),AND(A12&gt;DA$4,B12&gt;DB$4,Setup!C$71&lt;YEAR(C12)),IF(Y11=0,0,(Q11-((Q11/Y11)*BY11))*(1+DH$2)))</f>
        <v>0</v>
      </c>
      <c r="R12" s="327" cm="1">
        <f t="array" ref="R12">_xlfn.IFS(OR(ISBLANK(Setup!C$75),Setup!C$75&gt;YEAR(C12),AND(A12&gt;DA$6,B12&gt;DB$6)),0,Setup!C$75=YEAR(C12),Setup!C$74,AND(OR(A12&lt;=DA$4,B12&lt;=DB$4),Setup!C$75&lt;YEAR(C12)),R11*(1+DH$1),AND(A12&gt;DA$4,B12&gt;DB$4,Setup!C$75&lt;YEAR(C12)),IF(Y11=0,0,(R11-((R11/Y11)*BY11))*(1+DH$2)))</f>
        <v>0</v>
      </c>
      <c r="S12" s="327"/>
      <c r="T12" s="326" cm="1">
        <f t="array" ref="T12">_xlfn.IFS(AND($A12&gt;$DA$6,$B12&gt;$DB$6),0,AND($W$2=$DA$2,$A12&gt;$DA$4),IF($Y11=0,0,(T11-((T11/$Y11)*$BY11))*(1+$DH$2)),AND($W$2=$DB$2,$B12&gt;$DB$4),IF($Y11=0,0,(T11-((T11/$Y11)*$BY11))*(1+$DH$2)),AND($W$2=$DA$2,OR($A12&gt;$DA$3,$A12&gt;$DA$6)),(T11*(1+$DH$1)),AND($W$2=$DB$2,OR($B12&gt;$DB$3,$B12&gt;$DB$6)),(T11*(1+$DH$1)),AND($W$2=$DA$2,$A12&lt;=$DA$3,$A12&lt;=$DA$4,$A12&lt;=$DA$5),(T11*(1+$DH$1))+(T$4),AND($W$2=$DB$2,$B12&lt;=$DB$3,$B12&lt;=$DB$4,$B12&lt;=$DB$5),(T11*(1+$DH$1))+(T$4))</f>
        <v>0</v>
      </c>
      <c r="U12" s="326" cm="1">
        <f t="array" ref="U12">_xlfn.IFS(AND($A12&gt;$DA$6,$B12&gt;$DB$6),0,AND($W$2=$DA$2,$A12&gt;$DA$4),IF($Y11=0,0,(U11-((U11/$Y11)*$BY11))*(1+$DH$2)),AND($W$2=$DB$2,$B12&gt;$DB$4),IF($Y11=0,0,(U11-((U11/$Y11)*$BY11))*(1+$DH$2)),AND($W$2=$DA$2,OR($A12&gt;$DA$3,$A12&gt;$DA$6)),(U11*(1+$DH$1)),AND($W$2=$DB$2,OR($B12&gt;$DB$3,$B12&gt;$DB$6)),(U11*(1+$DH$1)),AND($W$2=$DA$2,$A12&lt;=$DA$3,$A12&lt;=$DA$4,$A12&lt;=$DA$5),(U11*(1+$DH$1))+(U$4),AND($W$2=$DB$2,$B12&lt;=$DB$3,$B12&lt;=$DB$4,$B12&lt;=$DB$5),(U11*(1+$DH$1))+(U$4))</f>
        <v>0</v>
      </c>
      <c r="V12" s="326" cm="1">
        <f t="array" ref="V12">_xlfn.IFS(AND($A12&gt;$DA$6,$B12&gt;$DB$6),0,AND($W$2=$DA$2,$A12&gt;$DA$4),IF($Y11=0,0,(V11-((V11/$Y11)*$BY11))*(1+$DH$2)),AND($W$2=$DB$2,$B12&gt;$DB$4),IF($Y11=0,0,(V11-((V11/$Y11)*$BY11))*(1+$DH$2)),AND($W$2=$DA$2,OR($A12&gt;$DA$3,$A12&gt;$DA$6)),(V11*(1+$DH$1)),AND($W$2=$DB$2,OR($B12&gt;$DB$3,$B12&gt;$DB$6)),(V11*(1+$DH$1)),AND($W$2=$DA$2,$A12&lt;=$DA$3,$A12&lt;=$DA$4,$A12&lt;=$DA$5),(V11*(1+$DH$1))+(V$4),AND($W$2=$DB$2,$B12&lt;=$DB$3,$B12&lt;=$DB$4,$B12&lt;=$DB$5),(V11*(1+$DH$1))+(V$4))</f>
        <v>0</v>
      </c>
      <c r="W12" s="326" cm="1">
        <f t="array" ref="W12">_xlfn.IFS(AND($A12&gt;$DA$6,$B12&gt;$DB$6),0,AND($W$2=$DA$2,$A12&gt;$DA$4),IF($Y11=0,0,(W11-((W11/$Y11)*$BY11))*(1+$DH$2)),AND($W$2=$DB$2,$B12&gt;$DB$4),IF($Y11=0,0,(W11-((W11/$Y11)*$BY11))*(1+$DH$2)),AND($W$2=$DA$2,OR($A12&gt;$DA$3,$A12&gt;$DA$6)),(W11*(1+$DH$1)),AND($W$2=$DB$2,OR($B12&gt;$DB$3,$B12&gt;$DB$6)),(W11*(1+$DH$1)),AND($W$2=$DA$2,$A12&lt;=$DA$3,$A12&lt;=$DA$4,$A12&lt;=$DA$5),(W11*(1+$DH$1))+(W$4),AND($W$2=$DB$2,$B12&lt;=$DB$3,$B12&lt;=$DB$4,$B12&lt;=$DB$5),(W11*(1+$DH$1))+(W$4))</f>
        <v>0</v>
      </c>
      <c r="Y12" s="1">
        <f t="shared" si="18"/>
        <v>0</v>
      </c>
      <c r="Z12" s="2">
        <f t="shared" si="19"/>
        <v>0</v>
      </c>
      <c r="AA12" s="375"/>
      <c r="AC12" s="326" cm="1">
        <f t="array" ref="AC12">_xlfn.IFS(AND(A12&gt;DA$6,B12&gt;DB$6),0,AND(A12&gt;DA$4,B12&gt;DB$4),IF(AG11=0,0,(AC11-((AC11/AG11)*CA11))*(1+DH$2)),OR(A12&gt;DA$3,A12&gt;DA$6),AC11*(1+DH$1),A12&gt;DA$4,(AC11-CA11)*(1+DH$2),AND(A12&lt;=DA$3,A12&lt;=DA$4,A12&lt;=DA$6),(AC11*(1+DH$1))+(AC$4))</f>
        <v>0</v>
      </c>
      <c r="AD12" s="375"/>
      <c r="AE12" s="326" cm="1">
        <f t="array" ref="AE12">_xlfn.IFS(AND(A12&gt;DA$6,B12&gt;DB$6),0,AND(A12&gt;DA$4,B12&gt;DB$4),IF(AG11=0,0,(AE11-((AE11/AG11)*CA11))*(1+DH$2)),OR(B12&gt;DB$3,B12&gt;DB$6),AE11*(1+DH$1),B12&gt;DB$4,(AE11-CA11)*(1+DH$2),AND(B12&lt;=DB$3,B12&lt;=DB$4,B12&lt;=DB$6),(AE11*(1+DH$1))+(AE$4))</f>
        <v>0</v>
      </c>
      <c r="AF12" s="375"/>
      <c r="AG12" s="1">
        <f t="shared" si="5"/>
        <v>0</v>
      </c>
      <c r="AH12" s="2">
        <f t="shared" si="20"/>
        <v>0</v>
      </c>
      <c r="AI12" s="14">
        <f t="shared" si="6"/>
        <v>0</v>
      </c>
      <c r="AK12" s="1">
        <f t="shared" si="21"/>
        <v>0</v>
      </c>
      <c r="AL12" s="14">
        <f t="shared" si="22"/>
        <v>0</v>
      </c>
      <c r="AM12" s="14" t="str">
        <f t="shared" si="23"/>
        <v/>
      </c>
      <c r="AO12" s="15">
        <f t="shared" si="7"/>
        <v>0</v>
      </c>
      <c r="AP12" s="1">
        <f>IF(AND(B12&gt;=$DB$6,A12&gt;=$DA$6),0,AP11*(1+Lookups!C$12))</f>
        <v>0</v>
      </c>
      <c r="AQ12" s="1">
        <f>IF(AND(B12&gt;=$DB$6,A12&gt;=$DA$6),0,AQ11*(1+Lookups!C$12))</f>
        <v>0</v>
      </c>
      <c r="AS12" s="1" cm="1">
        <f t="array" ref="AS12">_xlfn.IFS(OR(AS$6="",AND(A12&gt;=DA$6,B12&gt;=DB$6),AND(A12&lt;DA$4,B12&lt;DB$4)),0,AND(A12=DA$4,DA$4&lt;=DB$4),AS$6,AND(B12=DB$4,DA$4&gt;=DB$4),AS$6,OR(A12&gt;DA$4,B12&gt;DB$4),AS11*(1+Setup!C$103))</f>
        <v>0</v>
      </c>
      <c r="AT12" s="1" cm="1">
        <f t="array" ref="AT12">_xlfn.IFS(OR(AT$6="",AND(A12&gt;=DA$6,B12&gt;=DB$6),AND(A12&lt;DA$4,B12&lt;DB$4)),0,AND(A12=DA$4,DA$4&lt;=DB$4),AT$6,AND(B12=DB$4,DA$4&gt;=DB$4),AT$6,OR(A12&gt;DA$4,B12&gt;DB$4),AT11*(1+Setup!C$103))</f>
        <v>0</v>
      </c>
      <c r="AU12" s="1" cm="1">
        <f t="array" ref="AU12">_xlfn.IFS(OR(AU$6="",AND(A12&gt;=DA$6,B12&gt;=DB$6),AND(A12&lt;DA$4,B12&lt;DB$4)),0,AND(A12=DA$4,DA$4&lt;=DB$4),AU$6,AND(B12=DB$4,DA$4&gt;=DB$4),AU$6,OR(A12&gt;DA$4,B12&gt;DB$4),AU11*(1+Setup!C$103))</f>
        <v>0</v>
      </c>
      <c r="AV12" s="1" cm="1">
        <f t="array" ref="AV12">_xlfn.IFS(OR(AV$6="",AND(A12&gt;=DA$6,B12&gt;=DB$6),AND(A12&lt;DA$4,B12&lt;DB$4)),0,AND(A12=DA$4,DA$4&lt;=DB$4),AV$6,AND(B12=DB$4,DA$4&gt;=DB$4),AV$6,OR(A12&gt;DA$4,B12&gt;DB$4),AV11*(1+Setup!C$103))</f>
        <v>0</v>
      </c>
      <c r="AW12" s="1">
        <f t="shared" si="8"/>
        <v>0</v>
      </c>
      <c r="AY12" s="1" cm="1">
        <f t="array" ref="AY12">_xlfn.IFS(OR(AND(A12&gt;=DA$6,B12&gt;=DB$6),A12&lt;DA$5),0,AND(A12=DA$5,YEAR(C12)&gt;=Lookups!D$89),VLOOKUP(A12,Lookups!B$94:F$102,3),AND(A12=DA$5,YEAR(C12)&lt;Lookups!D$89),VLOOKUP(A12,Lookups!B$94:F$102,2),AND(A12&gt;DA$5,YEAR(C12)=Lookups!D$89),(AY11*Lookups!D$90)*(1+Lookups!C$20),AND(A12&gt;DA$5,YEAR(C12)&lt;&gt;Lookups!D$89),AY11*(1+Lookups!C$20))</f>
        <v>0</v>
      </c>
      <c r="AZ12" s="1" cm="1">
        <f t="array" ref="AZ12">_xlfn.IFS(OR(ISBLANK(Setup!K$91),Setup!K$91=0,AND(A12&gt;=DA$6,B12&gt;=DB$6),B12&lt;DB$5),0,AND(B12=DB$5,YEAR(C12)&gt;=Lookups!D$89),VLOOKUP(B12,Lookups!B$94:F$102,5),AND(B12=DB$5,YEAR(C12)&lt;Lookups!D$89),VLOOKUP(B12,Lookups!B$94:F$102,4),AND(B12&gt;DB$5,YEAR(C12)=Lookups!D$89),(AZ11*Lookups!D$90)*(1+Lookups!C$20),AND(B12&gt;DB$5,YEAR(C12)&lt;&gt;Lookups!D$89),AZ11*(1+Lookups!C$20))</f>
        <v>0</v>
      </c>
      <c r="BA12" s="65">
        <f>IF(OR(AY12&gt;0,AZ12&gt;0),(AY12+AZ12)*Lookups!D$120,0)</f>
        <v>0</v>
      </c>
      <c r="BB12" s="1" cm="1">
        <f t="array" ref="BB12">_xlfn.IFS(AND(A12&lt;DA$4,B12&lt;DB$4),0,OR(_xlfn.XOR(A12&gt;DA$6,B12&gt;DB$6),_xlfn.XOR(A12&gt;=DA$4,B12&gt;=DB$4)),IF(AP12-SUM(AW12,AY12:AZ12)&gt;0,AP12-SUM(AW12,AY12:AZ12),0),AQ12-SUM(AW12,AY12:AZ12)&gt;0, AQ12-SUM(AW12,AY12:AZ12),AQ12-SUM(AW12,AY12:AZ12)&lt;=0,0)</f>
        <v>0</v>
      </c>
      <c r="BD12" s="1" cm="1">
        <f t="array" ref="BD12">_xlfn.IFS(AND(A12&gt;=DA$6,B12&gt;=DB$6),0,AND(A12&gt;=DA$6,B12&gt;=Lookups!C$35),D12/VLOOKUP(B12,Lookups!C$37:D$67,2),A12&lt;Lookups!$C$35,0,A12&gt;=Lookups!C$35,D12/VLOOKUP(A12,Lookups!C$37:D$67,2))</f>
        <v>0</v>
      </c>
      <c r="BE12" s="1" cm="1">
        <f t="array" ref="BE12">_xlfn.IFS(AND(A12&gt;=DA$6,B12&gt;=DB$6),0,AND(B12&gt;=DB$6,A12&gt;=Lookups!C$35),F12/VLOOKUP(A12,Lookups!C$37:D$67,2),B12&lt;Lookups!$C$35,0,B12&gt;=Lookups!C$35,F12/VLOOKUP(B12,Lookups!C$37:D$67,2))</f>
        <v>0</v>
      </c>
      <c r="BF12" s="1" cm="1">
        <f t="array" ref="BF12">_xlfn.IFS($BB12&lt;=0,0,AND(A12&gt;=DA$4,B12&gt;=DB$4,$BB12*I12&lt;(BD12+BE12)),0,AND(A12&gt;=DA$4,B12&gt;=DB$4,H12&gt;=(BB12*I12)-BD12-BE12),(BB12*I12)-BD12-BE12,AND(A12&gt;=DA$4,B12&gt;=DB$4,H12&lt;(BB12*I12)-BD12-BE12),H12,AND(A12&gt;=DA$4,$BB12*I12&lt;(BD12)),0,AND(A12&gt;=DA$4,H12&gt;=(BB12*I12)-BD12),(BB12*I12)-BD12,AND(A12&gt;=DA$4,H12&lt;(BB12*I12)-BD12),H12,AND(B12&gt;=DB$4,$BB12*I12&lt;(BE12)),0,AND(B12&gt;=DB$4,H12&gt;=(BB12*I12)-BE12),(BB12*I12)-BE12,AND(B12&gt;=DB$4,H12&lt;(BB12*I12)-BE12),H12)</f>
        <v>0</v>
      </c>
      <c r="BG12" s="1">
        <f t="shared" si="9"/>
        <v>0</v>
      </c>
      <c r="BH12" s="1" cm="1">
        <f t="array" ref="BH12">_xlfn.IFS(OR(D12=0,A12&lt;DA$4),0,AND(A12&gt;=DA$4,B12&gt;=DB$4,D12&lt;BD12+($BF12*(D12/$H12))+(-$BP12*(D12/$H12))),D12,AND(A12&gt;=DA$4,B12&gt;=DB$4,$BB12&gt;$BG12),BD12+($BF12*(D12/$H12))+(-$BP12*(D12/$H12)),AND(A12&gt;=DA$4,B12&gt;=DB$4,OR(A12&gt;DA$6, B12&gt;DB$6),$AP12-SUM($AW12,$AY12:$AZ12)&lt;0),BD12+($BF12*(D12/$H12))+(-$BP12*(D12/$H12))+(BP12*(D12/$H12)),AND(A12&gt;=DA$4,B12&gt;=DB$4,$AQ12-SUM($AW12,$AY12:$AZ12)&lt;0),BD12+($BF12*(D12/$H12))+(-$BP12*(D12/$H12))+(BP12*(D12/$H12)),AND(A12&gt;=DA$4,D12&lt;BD12+$BF12-$BP12),D12,AND(A12&gt;=DA$4,$AP12-SUM($AW12,$AY12:$AZ12)&lt;0),BD12+($BF12*(D12/$H12))+(-$BP12*(D12/$H12))+(BP12*(D12/$H12)),A12&gt;=DA$4,BD12+$BF12-$BP12)</f>
        <v>0</v>
      </c>
      <c r="BI12" s="1" cm="1">
        <f t="array" ref="BI12">_xlfn.IFS(OR(F12=0,B12&lt;DB$4),0,AND(A12&gt;=DA$4,B12&gt;=DB$4,F12&lt;BE12+($BF12*(F12/$H12))+(-$BP12*(F12/$H12))),F12,AND(A12&gt;=DA$4,B12&gt;=DB$4,$BB12&gt;$BG12),BE12+($BF12*(F12/$H12))+(-$BP12*(F12/$H12)),AND(A12&gt;=DA$4,B12&gt;=DB$4,OR(A12&gt;DA$6, B12&gt;DB$6),$AP12-SUM($AW12,$AY12:$AZ12)&lt;0),BE12+($BF12*(F12/$H12))+(-$BP12*(F12/$H12))+(BP12*(F12/$H12)),AND(A12&gt;=DA$4,B12&gt;=DB$4,$AQ12-SUM($AW12,$AY12:$AZ12)&lt;0),BE12+($BF12*(F12/$H12))+(-$BP12*(F12/$H12))+(BP12*(F12/$H12)),AND(B12&gt;=DB$4,F12&lt;BE12+$BF12-$BP12),F12,AND(B12&gt;=DB$4,$AP12-SUM($AW12,$AY12:$AZ12)&lt;0),BE12+($BF12*(F12/$H12))+(-$BP12*(F12/$H12))+(BP12*(F12/$H12)),B12&gt;=DB$4,BE12+$BF12-$BP12)</f>
        <v>0</v>
      </c>
      <c r="BJ12" s="64" cm="1">
        <f t="array" ref="BJ12">IF(AW12+BA12+BG12&gt;0, AW12+BA12+BG12-_xlfn.IFS(AND(A12&gt;=65,B12&gt;=65),VLOOKUP(Setup!I$4,Lookups!C$133:F$136,4),OR(A12&gt;=65,B12&gt;=65),VLOOKUP(Setup!I$4,Lookups!C$133:E$136,3),AND(A12&lt;65,B12&lt;65),VLOOKUP(Setup!I$4,Lookups!C$133:D$136,2)),0)</f>
        <v>0</v>
      </c>
      <c r="BK12" s="1" cm="1">
        <f t="array" ref="BK12">IF(BJ12&gt;0,_xlfn.IFS(Setup!I$4=Lookups!D$109,-_xlfn.IFS($BJ12&gt;=Lookups!D$157, Lookups!F$157+($BJ12-Lookups!D$157)*Lookups!G$157,$BJ12&gt;=Lookups!D$156, Lookups!F$156+($BJ12-Lookups!D$156)*Lookups!G$156,$BJ12&gt;=Lookups!D$155, Lookups!F$155+($BJ12-Lookups!D$155)*Lookups!G$155,$BJ12&gt;=Lookups!D$154, Lookups!F$154+($BJ12-Lookups!D$154)*Lookups!G$154,$BJ12&gt;=Lookups!D$153, Lookups!F$153+($BJ12-Lookups!D$153)*Lookups!G$153,$BJ12&gt;=Lookups!D$152, Lookups!F$152+($BJ12-Lookups!D$152)*Lookups!G$152,$BJ12&lt;Lookups!D$152,$BJ12*Lookups!G$151),Setup!I$4=Lookups!D$110,-_xlfn.IFS($BJ12&gt;=Lookups!D$167, Lookups!F$167+($BJ12-Lookups!D$167)*Lookups!G$167,$BJ12&gt;=Lookups!D$166, Lookups!F$166+($BJ12-Lookups!D$166)*Lookups!G$166,$BJ12&gt;=Lookups!D$165, Lookups!F$165+($BJ12-Lookups!D$165)*Lookups!G$165,$BJ12&gt;=Lookups!D$164, Lookups!F$164+($BJ12-Lookups!D$164)*Lookups!G$164,$BJ12&gt;=Lookups!D$163, Lookups!F$163+($BJ12-Lookups!D$163)*Lookups!G$163,$BJ12&gt;=Lookups!D$162, Lookups!F$162+($BJ12-Lookups!D$162)*Lookups!G$162,$BJ12&lt;Lookups!D$162,$BJ12*Lookups!G$161),Setup!I$4=Lookups!D$111,-_xlfn.IFS($BJ12&gt;=Lookups!D$177, Lookups!F$177+($BJ12-Lookups!D$177)*Lookups!G$177,$BJ12&gt;=Lookups!D$176, Lookups!F$176+($BJ12-Lookups!D$176)*Lookups!G$176,$BJ12&gt;=Lookups!D$175, Lookups!F$175+($BJ12-Lookups!D$175)*Lookups!G$175,$BJ12&gt;=Lookups!D$174, Lookups!F$174+($BJ12-Lookups!D$174)*Lookups!G$174,$BJ12&gt;=Lookups!D$173, Lookups!F$173+($BJ12-Lookups!D$173)*Lookups!G$173,$BJ12&gt;=Lookups!D$172, Lookups!F$172+($BJ12-Lookups!D$172)*Lookups!G$172,$BJ12&lt;Lookups!D$172,$BJ12*Lookups!G$171), Setup!I$4=Lookups!D$112,-_xlfn.IFS($BJ12&gt;=Lookups!D$187, Lookups!F$187+($BJ12-Lookups!D$187)*Lookups!G$187,$BJ12&gt;=Lookups!D$186, Lookups!F$186+($BJ12-Lookups!D$186)*Lookups!G$186,$BJ12&gt;=Lookups!D$185, Lookups!F$185+($BJ12-Lookups!D$185)*Lookups!G$185,$BJ12&gt;=Lookups!D$184, Lookups!F$184+($BJ12-Lookups!D$184)*Lookups!G$184,$BJ12&gt;=Lookups!D$183, Lookups!F$183+($BJ12-Lookups!D$183)*Lookups!G$183,$BJ12&gt;=Lookups!D$182, Lookups!F$182+($BJ12-Lookups!D$182)*Lookups!G$182,$BJ12&lt;Lookups!D$182,$BJ12*Lookups!G$181)),0)</f>
        <v>0</v>
      </c>
      <c r="BL12" s="18">
        <f t="shared" si="10"/>
        <v>0</v>
      </c>
      <c r="BM12" s="134">
        <f t="shared" si="24"/>
        <v>0</v>
      </c>
      <c r="BN12" s="134" cm="1">
        <f t="array" aca="1" ref="BN12" ca="1">INDIRECT(Setup!I$6&amp;"!"&amp;"A"&amp;ROW())</f>
        <v>0</v>
      </c>
      <c r="BO12" s="134">
        <f t="shared" si="25"/>
        <v>0</v>
      </c>
      <c r="BP12" s="1">
        <f t="shared" si="11"/>
        <v>0</v>
      </c>
      <c r="BQ12" s="1">
        <f t="shared" si="26"/>
        <v>0</v>
      </c>
      <c r="BS12" s="1">
        <f t="shared" si="27"/>
        <v>0</v>
      </c>
      <c r="BT12" s="1" cm="1">
        <f t="array" ref="BT12">-IF(BS12&gt;0,_xlfn.IFS((AW12+BA12+BG12+BS12)&gt;=VLOOKUP(Setup!I$4,Lookups!C$210:E$213,3),BS12*Lookups!D$203,(AW12+BA12+BG12+BS12)&gt;=VLOOKUP(Setup!I$4,Lookups!C$210:E$213,2),BS12*Lookups!D$197,(AW12+BA12+BG12+BS12)&lt;VLOOKUP(Setup!I$4,Lookups!C$210:E$213,2),0),0)</f>
        <v>0</v>
      </c>
      <c r="BU12" s="18">
        <f t="shared" si="28"/>
        <v>0</v>
      </c>
      <c r="BV12" s="1">
        <f t="shared" si="29"/>
        <v>0</v>
      </c>
      <c r="BW12" s="1" cm="1">
        <f t="array" aca="1" ref="BW12" ca="1">INDIRECT(Setup!I$6&amp;"!"&amp;"A"&amp;ROW()+100)</f>
        <v>0</v>
      </c>
      <c r="BX12" s="1">
        <f t="shared" ca="1" si="15"/>
        <v>0</v>
      </c>
      <c r="BY12" s="1">
        <f t="shared" ca="1" si="16"/>
        <v>0</v>
      </c>
      <c r="CA12" s="1">
        <f t="shared" si="34"/>
        <v>0</v>
      </c>
      <c r="CC12" s="1" cm="1">
        <f t="array" ref="CC12">_xlfn.IFS(AND(A12&lt;$DA$4,B12&lt;$DB$4),0,AND(AND(A12&gt;=$DA$4,B12&gt;=$DB$4),AND(A12&lt;=$DA$6,B12&lt;=$DB$6),AND(BH12=0,BI12=0)),SUM(AW12,AY12:AZ12,BD12:BF12,BP12,BS12,CA12)-AQ12,AND(AND(A12&gt;=$DA$4,B12&gt;=$DB$4),AND(A12&lt;=$DA$6,B12&lt;=$DB$6)),SUM(AW12,AY12:AZ12,BD12:BF12,BS12,CA12)-AQ12,AND(OR(A12&gt;=$DA$4,B12&gt;=$DB$4),AND(BH12=0,BI12=0)),SUM(AW12,AY12:AZ12,BD12:BF12,BP12,BS12,CA12)-AP12,OR(A12&gt;=$DA$4,B12&gt;=$DB$4),SUM(AW12,AY12:AZ12,BD12:BF12,BS12,CA12)-AP12)</f>
        <v>0</v>
      </c>
      <c r="CD12" s="142" t="str">
        <f t="shared" si="30"/>
        <v/>
      </c>
    </row>
    <row r="13" spans="1:112" x14ac:dyDescent="0.3">
      <c r="A13" s="354">
        <f t="shared" si="31"/>
        <v>6</v>
      </c>
      <c r="B13" s="354">
        <f t="shared" si="32"/>
        <v>6</v>
      </c>
      <c r="C13" s="359">
        <f t="shared" si="33"/>
        <v>2193</v>
      </c>
      <c r="D13" s="326" cm="1">
        <f t="array" ref="D13">_xlfn.IFS(AND(A13&gt;DA$6,B13&gt;DB$6),0,AND(A13&gt;DA$3,A13&lt;=DA$4),D12*(1+DH$1),OR(A13&gt;DA$6,A13&gt;DA$4),(D12-BH12)*(1+DH$2),A13&lt;=DA$4,(D12*(1+DH$1))+(D$4))</f>
        <v>0</v>
      </c>
      <c r="E13" s="375"/>
      <c r="F13" s="326" cm="1">
        <f t="array" ref="F13">_xlfn.IFS(AND(A13&gt;DA$6,B13&gt;DB$6),0,AND(B13&gt;DB$3,B13&lt;=DB$4),F12*(1+DH$1),OR(B13&gt;DB$6,B13&gt;DB$4),(F12-BI12)*(1+DH$2),B13&lt;=DB$4,(F12*(1+DH$1))+(F$4))</f>
        <v>0</v>
      </c>
      <c r="G13" s="375"/>
      <c r="H13" s="1">
        <f t="shared" si="17"/>
        <v>0</v>
      </c>
      <c r="I13" s="2">
        <f t="shared" si="2"/>
        <v>0</v>
      </c>
      <c r="J13" s="14">
        <f t="shared" si="35"/>
        <v>0</v>
      </c>
      <c r="K13" s="363"/>
      <c r="L13" s="402" cm="1">
        <f t="array" ref="L13">_xlfn.IFS(AND(A13&gt;DA$6,B13&gt;DB$6),0,A13&lt;DA$6,0,A13=DA$6,L$4,AND(A13&gt;DA$6,B13&lt;=DB$4),L12*(1+DH$1),AND(A13&gt;DA$6,B13&gt;DB$4),IF(Y12=0,0,(L12-((L12/Y12)*BY12))*(1+DH$2)))</f>
        <v>0</v>
      </c>
      <c r="M13" s="402" cm="1">
        <f t="array" ref="M13">_xlfn.IFS(AND(A13&gt;DA$6,B13&gt;DB$6),0,B13&lt;DB$6,0,B13=DB$6,M$4,AND(B13&gt;DB$6,A13&lt;=DA$4),M12*(1+DH$1),AND(A13&gt;DA$4,B13&gt;DB$6),IF(Y12=0,0,(M12-((M12/Y12)*BY12))*(1+DH$2)))</f>
        <v>0</v>
      </c>
      <c r="N13" s="327"/>
      <c r="O13" s="327" cm="1">
        <f t="array" ref="O13">_xlfn.IFS(OR(ISBLANK(Setup!C$63),Setup!C$63&gt;YEAR(C13),AND(A13&gt;DA$6,B13&gt;DB$6),ISBLANK(Y12)),0,Setup!C$63=YEAR(C13),Setup!C$62,AND(OR(A13&lt;=DA$4,B13&lt;=DB$4),Setup!C$63&lt;YEAR(C13)),O12*(1+DH$1),AND(A13&gt;DA$4,B13&gt;DB$4,Setup!C$63&lt;YEAR(C13)),IF(Y12=0,0,(O12-((O12/Y12)*BY12))*(1+DH$2)))</f>
        <v>0</v>
      </c>
      <c r="P13" s="327" cm="1">
        <f t="array" ref="P13">_xlfn.IFS(OR(ISBLANK(Setup!C$67),Setup!C$67&gt;YEAR(C13),AND(A13&gt;DA$6,B13&gt;DB$6)),0,Setup!C$67=YEAR(C13),Setup!C$66,AND(OR(A13&lt;=DA$4,B13&lt;=DB$4),Setup!C$67&lt;YEAR(C13)),P12*(1+DH$1),AND(A13&gt;DA$4,B13&gt;DB$4,Setup!C$67&lt;YEAR(C13)),IF(Y12=0,0,(P12-((P12/Y12)*BY12))*(1+DH$2)))</f>
        <v>0</v>
      </c>
      <c r="Q13" s="327" cm="1">
        <f t="array" ref="Q13">_xlfn.IFS(OR(ISBLANK(Setup!C$71),Setup!C$71&gt;YEAR(C13),AND(A13&gt;DA$6,B13&gt;DB$6)),0,Setup!C$71=YEAR(C13),Setup!C$70,AND(OR(A13&lt;=DA$4,B13&lt;=DB$4),Setup!C$71&lt;YEAR(C13)),Q12*(1+DH$1),AND(A13&gt;DA$4,B13&gt;DB$4,Setup!C$71&lt;YEAR(C13)),IF(Y12=0,0,(Q12-((Q12/Y12)*BY12))*(1+DH$2)))</f>
        <v>0</v>
      </c>
      <c r="R13" s="327" cm="1">
        <f t="array" ref="R13">_xlfn.IFS(OR(ISBLANK(Setup!C$75),Setup!C$75&gt;YEAR(C13),AND(A13&gt;DA$6,B13&gt;DB$6)),0,Setup!C$75=YEAR(C13),Setup!C$74,AND(OR(A13&lt;=DA$4,B13&lt;=DB$4),Setup!C$75&lt;YEAR(C13)),R12*(1+DH$1),AND(A13&gt;DA$4,B13&gt;DB$4,Setup!C$75&lt;YEAR(C13)),IF(Y12=0,0,(R12-((R12/Y12)*BY12))*(1+DH$2)))</f>
        <v>0</v>
      </c>
      <c r="S13" s="327"/>
      <c r="T13" s="326" cm="1">
        <f t="array" ref="T13">_xlfn.IFS(AND($A13&gt;$DA$6,$B13&gt;$DB$6),0,AND($W$2=$DA$2,$A13&gt;$DA$4),IF($Y12=0,0,(T12-((T12/$Y12)*$BY12))*(1+$DH$2)),AND($W$2=$DB$2,$B13&gt;$DB$4),IF($Y12=0,0,(T12-((T12/$Y12)*$BY12))*(1+$DH$2)),AND($W$2=$DA$2,OR($A13&gt;$DA$3,$A13&gt;$DA$6)),(T12*(1+$DH$1)),AND($W$2=$DB$2,OR($B13&gt;$DB$3,$B13&gt;$DB$6)),(T12*(1+$DH$1)),AND($W$2=$DA$2,$A13&lt;=$DA$3,$A13&lt;=$DA$4,$A13&lt;=$DA$5),(T12*(1+$DH$1))+(T$4),AND($W$2=$DB$2,$B13&lt;=$DB$3,$B13&lt;=$DB$4,$B13&lt;=$DB$5),(T12*(1+$DH$1))+(T$4))</f>
        <v>0</v>
      </c>
      <c r="U13" s="326" cm="1">
        <f t="array" ref="U13">_xlfn.IFS(AND($A13&gt;$DA$6,$B13&gt;$DB$6),0,AND($W$2=$DA$2,$A13&gt;$DA$4),IF($Y12=0,0,(U12-((U12/$Y12)*$BY12))*(1+$DH$2)),AND($W$2=$DB$2,$B13&gt;$DB$4),IF($Y12=0,0,(U12-((U12/$Y12)*$BY12))*(1+$DH$2)),AND($W$2=$DA$2,OR($A13&gt;$DA$3,$A13&gt;$DA$6)),(U12*(1+$DH$1)),AND($W$2=$DB$2,OR($B13&gt;$DB$3,$B13&gt;$DB$6)),(U12*(1+$DH$1)),AND($W$2=$DA$2,$A13&lt;=$DA$3,$A13&lt;=$DA$4,$A13&lt;=$DA$5),(U12*(1+$DH$1))+(U$4),AND($W$2=$DB$2,$B13&lt;=$DB$3,$B13&lt;=$DB$4,$B13&lt;=$DB$5),(U12*(1+$DH$1))+(U$4))</f>
        <v>0</v>
      </c>
      <c r="V13" s="326" cm="1">
        <f t="array" ref="V13">_xlfn.IFS(AND($A13&gt;$DA$6,$B13&gt;$DB$6),0,AND($W$2=$DA$2,$A13&gt;$DA$4),IF($Y12=0,0,(V12-((V12/$Y12)*$BY12))*(1+$DH$2)),AND($W$2=$DB$2,$B13&gt;$DB$4),IF($Y12=0,0,(V12-((V12/$Y12)*$BY12))*(1+$DH$2)),AND($W$2=$DA$2,OR($A13&gt;$DA$3,$A13&gt;$DA$6)),(V12*(1+$DH$1)),AND($W$2=$DB$2,OR($B13&gt;$DB$3,$B13&gt;$DB$6)),(V12*(1+$DH$1)),AND($W$2=$DA$2,$A13&lt;=$DA$3,$A13&lt;=$DA$4,$A13&lt;=$DA$5),(V12*(1+$DH$1))+(V$4),AND($W$2=$DB$2,$B13&lt;=$DB$3,$B13&lt;=$DB$4,$B13&lt;=$DB$5),(V12*(1+$DH$1))+(V$4))</f>
        <v>0</v>
      </c>
      <c r="W13" s="326" cm="1">
        <f t="array" ref="W13">_xlfn.IFS(AND($A13&gt;$DA$6,$B13&gt;$DB$6),0,AND($W$2=$DA$2,$A13&gt;$DA$4),IF($Y12=0,0,(W12-((W12/$Y12)*$BY12))*(1+$DH$2)),AND($W$2=$DB$2,$B13&gt;$DB$4),IF($Y12=0,0,(W12-((W12/$Y12)*$BY12))*(1+$DH$2)),AND($W$2=$DA$2,OR($A13&gt;$DA$3,$A13&gt;$DA$6)),(W12*(1+$DH$1)),AND($W$2=$DB$2,OR($B13&gt;$DB$3,$B13&gt;$DB$6)),(W12*(1+$DH$1)),AND($W$2=$DA$2,$A13&lt;=$DA$3,$A13&lt;=$DA$4,$A13&lt;=$DA$5),(W12*(1+$DH$1))+(W$4),AND($W$2=$DB$2,$B13&lt;=$DB$3,$B13&lt;=$DB$4,$B13&lt;=$DB$5),(W12*(1+$DH$1))+(W$4))</f>
        <v>0</v>
      </c>
      <c r="Y13" s="1">
        <f t="shared" si="18"/>
        <v>0</v>
      </c>
      <c r="Z13" s="2">
        <f t="shared" si="19"/>
        <v>0</v>
      </c>
      <c r="AA13" s="375"/>
      <c r="AC13" s="326" cm="1">
        <f t="array" ref="AC13">_xlfn.IFS(AND(A13&gt;DA$6,B13&gt;DB$6),0,AND(A13&gt;DA$4,B13&gt;DB$4),IF(AG12=0,0,(AC12-((AC12/AG12)*CA12))*(1+DH$2)),OR(A13&gt;DA$3,A13&gt;DA$6),AC12*(1+DH$1),A13&gt;DA$4,(AC12-CA12)*(1+DH$2),AND(A13&lt;=DA$3,A13&lt;=DA$4,A13&lt;=DA$6),(AC12*(1+DH$1))+(AC$4))</f>
        <v>0</v>
      </c>
      <c r="AD13" s="375"/>
      <c r="AE13" s="326" cm="1">
        <f t="array" ref="AE13">_xlfn.IFS(AND(A13&gt;DA$6,B13&gt;DB$6),0,AND(A13&gt;DA$4,B13&gt;DB$4),IF(AG12=0,0,(AE12-((AE12/AG12)*CA12))*(1+DH$2)),OR(B13&gt;DB$3,B13&gt;DB$6),AE12*(1+DH$1),B13&gt;DB$4,(AE12-CA12)*(1+DH$2),AND(B13&lt;=DB$3,B13&lt;=DB$4,B13&lt;=DB$6),(AE12*(1+DH$1))+(AE$4))</f>
        <v>0</v>
      </c>
      <c r="AF13" s="375"/>
      <c r="AG13" s="1">
        <f t="shared" si="5"/>
        <v>0</v>
      </c>
      <c r="AH13" s="2">
        <f t="shared" si="20"/>
        <v>0</v>
      </c>
      <c r="AI13" s="14">
        <f t="shared" si="6"/>
        <v>0</v>
      </c>
      <c r="AK13" s="1">
        <f t="shared" si="21"/>
        <v>0</v>
      </c>
      <c r="AL13" s="14">
        <f t="shared" si="22"/>
        <v>0</v>
      </c>
      <c r="AM13" s="14" t="str">
        <f t="shared" si="23"/>
        <v/>
      </c>
      <c r="AO13" s="15">
        <f t="shared" si="7"/>
        <v>0</v>
      </c>
      <c r="AP13" s="1">
        <f>IF(AND(B13&gt;=$DB$6,A13&gt;=$DA$6),0,AP12*(1+Lookups!C$12))</f>
        <v>0</v>
      </c>
      <c r="AQ13" s="1">
        <f>IF(AND(B13&gt;=$DB$6,A13&gt;=$DA$6),0,AQ12*(1+Lookups!C$12))</f>
        <v>0</v>
      </c>
      <c r="AS13" s="1" cm="1">
        <f t="array" ref="AS13">_xlfn.IFS(OR(AS$6="",AND(A13&gt;=DA$6,B13&gt;=DB$6),AND(A13&lt;DA$4,B13&lt;DB$4)),0,AND(A13=DA$4,DA$4&lt;=DB$4),AS$6,AND(B13=DB$4,DA$4&gt;=DB$4),AS$6,OR(A13&gt;DA$4,B13&gt;DB$4),AS12*(1+Setup!C$103))</f>
        <v>0</v>
      </c>
      <c r="AT13" s="1" cm="1">
        <f t="array" ref="AT13">_xlfn.IFS(OR(AT$6="",AND(A13&gt;=DA$6,B13&gt;=DB$6),AND(A13&lt;DA$4,B13&lt;DB$4)),0,AND(A13=DA$4,DA$4&lt;=DB$4),AT$6,AND(B13=DB$4,DA$4&gt;=DB$4),AT$6,OR(A13&gt;DA$4,B13&gt;DB$4),AT12*(1+Setup!C$103))</f>
        <v>0</v>
      </c>
      <c r="AU13" s="1" cm="1">
        <f t="array" ref="AU13">_xlfn.IFS(OR(AU$6="",AND(A13&gt;=DA$6,B13&gt;=DB$6),AND(A13&lt;DA$4,B13&lt;DB$4)),0,AND(A13=DA$4,DA$4&lt;=DB$4),AU$6,AND(B13=DB$4,DA$4&gt;=DB$4),AU$6,OR(A13&gt;DA$4,B13&gt;DB$4),AU12*(1+Setup!C$103))</f>
        <v>0</v>
      </c>
      <c r="AV13" s="1" cm="1">
        <f t="array" ref="AV13">_xlfn.IFS(OR(AV$6="",AND(A13&gt;=DA$6,B13&gt;=DB$6),AND(A13&lt;DA$4,B13&lt;DB$4)),0,AND(A13=DA$4,DA$4&lt;=DB$4),AV$6,AND(B13=DB$4,DA$4&gt;=DB$4),AV$6,OR(A13&gt;DA$4,B13&gt;DB$4),AV12*(1+Setup!C$103))</f>
        <v>0</v>
      </c>
      <c r="AW13" s="1">
        <f t="shared" si="8"/>
        <v>0</v>
      </c>
      <c r="AY13" s="1" cm="1">
        <f t="array" ref="AY13">_xlfn.IFS(OR(AND(A13&gt;=DA$6,B13&gt;=DB$6),A13&lt;DA$5),0,AND(A13=DA$5,YEAR(C13)&gt;=Lookups!D$89),VLOOKUP(A13,Lookups!B$94:F$102,3),AND(A13=DA$5,YEAR(C13)&lt;Lookups!D$89),VLOOKUP(A13,Lookups!B$94:F$102,2),AND(A13&gt;DA$5,YEAR(C13)=Lookups!D$89),(AY12*Lookups!D$90)*(1+Lookups!C$20),AND(A13&gt;DA$5,YEAR(C13)&lt;&gt;Lookups!D$89),AY12*(1+Lookups!C$20))</f>
        <v>0</v>
      </c>
      <c r="AZ13" s="1" cm="1">
        <f t="array" ref="AZ13">_xlfn.IFS(OR(ISBLANK(Setup!K$91),Setup!K$91=0,AND(A13&gt;=DA$6,B13&gt;=DB$6),B13&lt;DB$5),0,AND(B13=DB$5,YEAR(C13)&gt;=Lookups!D$89),VLOOKUP(B13,Lookups!B$94:F$102,5),AND(B13=DB$5,YEAR(C13)&lt;Lookups!D$89),VLOOKUP(B13,Lookups!B$94:F$102,4),AND(B13&gt;DB$5,YEAR(C13)=Lookups!D$89),(AZ12*Lookups!D$90)*(1+Lookups!C$20),AND(B13&gt;DB$5,YEAR(C13)&lt;&gt;Lookups!D$89),AZ12*(1+Lookups!C$20))</f>
        <v>0</v>
      </c>
      <c r="BA13" s="65">
        <f>IF(OR(AY13&gt;0,AZ13&gt;0),(AY13+AZ13)*Lookups!D$120,0)</f>
        <v>0</v>
      </c>
      <c r="BB13" s="1" cm="1">
        <f t="array" ref="BB13">_xlfn.IFS(AND(A13&lt;DA$4,B13&lt;DB$4),0,OR(_xlfn.XOR(A13&gt;DA$6,B13&gt;DB$6),_xlfn.XOR(A13&gt;=DA$4,B13&gt;=DB$4)),IF(AP13-SUM(AW13,AY13:AZ13)&gt;0,AP13-SUM(AW13,AY13:AZ13),0),AQ13-SUM(AW13,AY13:AZ13)&gt;0, AQ13-SUM(AW13,AY13:AZ13),AQ13-SUM(AW13,AY13:AZ13)&lt;=0,0)</f>
        <v>0</v>
      </c>
      <c r="BD13" s="1" cm="1">
        <f t="array" ref="BD13">_xlfn.IFS(AND(A13&gt;=DA$6,B13&gt;=DB$6),0,AND(A13&gt;=DA$6,B13&gt;=Lookups!C$35),D13/VLOOKUP(B13,Lookups!C$37:D$67,2),A13&lt;Lookups!$C$35,0,A13&gt;=Lookups!C$35,D13/VLOOKUP(A13,Lookups!C$37:D$67,2))</f>
        <v>0</v>
      </c>
      <c r="BE13" s="1" cm="1">
        <f t="array" ref="BE13">_xlfn.IFS(AND(A13&gt;=DA$6,B13&gt;=DB$6),0,AND(B13&gt;=DB$6,A13&gt;=Lookups!C$35),F13/VLOOKUP(A13,Lookups!C$37:D$67,2),B13&lt;Lookups!$C$35,0,B13&gt;=Lookups!C$35,F13/VLOOKUP(B13,Lookups!C$37:D$67,2))</f>
        <v>0</v>
      </c>
      <c r="BF13" s="1" cm="1">
        <f t="array" ref="BF13">_xlfn.IFS($BB13&lt;=0,0,AND(A13&gt;=DA$4,B13&gt;=DB$4,$BB13*I13&lt;(BD13+BE13)),0,AND(A13&gt;=DA$4,B13&gt;=DB$4,H13&gt;=(BB13*I13)-BD13-BE13),(BB13*I13)-BD13-BE13,AND(A13&gt;=DA$4,B13&gt;=DB$4,H13&lt;(BB13*I13)-BD13-BE13),H13,AND(A13&gt;=DA$4,$BB13*I13&lt;(BD13)),0,AND(A13&gt;=DA$4,H13&gt;=(BB13*I13)-BD13),(BB13*I13)-BD13,AND(A13&gt;=DA$4,H13&lt;(BB13*I13)-BD13),H13,AND(B13&gt;=DB$4,$BB13*I13&lt;(BE13)),0,AND(B13&gt;=DB$4,H13&gt;=(BB13*I13)-BE13),(BB13*I13)-BE13,AND(B13&gt;=DB$4,H13&lt;(BB13*I13)-BE13),H13)</f>
        <v>0</v>
      </c>
      <c r="BG13" s="1">
        <f t="shared" si="9"/>
        <v>0</v>
      </c>
      <c r="BH13" s="1" cm="1">
        <f t="array" ref="BH13">_xlfn.IFS(OR(D13=0,A13&lt;DA$4),0,AND(A13&gt;=DA$4,B13&gt;=DB$4,D13&lt;BD13+($BF13*(D13/$H13))+(-$BP13*(D13/$H13))),D13,AND(A13&gt;=DA$4,B13&gt;=DB$4,$BB13&gt;$BG13),BD13+($BF13*(D13/$H13))+(-$BP13*(D13/$H13)),AND(A13&gt;=DA$4,B13&gt;=DB$4,OR(A13&gt;DA$6, B13&gt;DB$6),$AP13-SUM($AW13,$AY13:$AZ13)&lt;0),BD13+($BF13*(D13/$H13))+(-$BP13*(D13/$H13))+(BP13*(D13/$H13)),AND(A13&gt;=DA$4,B13&gt;=DB$4,$AQ13-SUM($AW13,$AY13:$AZ13)&lt;0),BD13+($BF13*(D13/$H13))+(-$BP13*(D13/$H13))+(BP13*(D13/$H13)),AND(A13&gt;=DA$4,D13&lt;BD13+$BF13-$BP13),D13,AND(A13&gt;=DA$4,$AP13-SUM($AW13,$AY13:$AZ13)&lt;0),BD13+($BF13*(D13/$H13))+(-$BP13*(D13/$H13))+(BP13*(D13/$H13)),A13&gt;=DA$4,BD13+$BF13-$BP13)</f>
        <v>0</v>
      </c>
      <c r="BI13" s="1" cm="1">
        <f t="array" ref="BI13">_xlfn.IFS(OR(F13=0,B13&lt;DB$4),0,AND(A13&gt;=DA$4,B13&gt;=DB$4,F13&lt;BE13+($BF13*(F13/$H13))+(-$BP13*(F13/$H13))),F13,AND(A13&gt;=DA$4,B13&gt;=DB$4,$BB13&gt;$BG13),BE13+($BF13*(F13/$H13))+(-$BP13*(F13/$H13)),AND(A13&gt;=DA$4,B13&gt;=DB$4,OR(A13&gt;DA$6, B13&gt;DB$6),$AP13-SUM($AW13,$AY13:$AZ13)&lt;0),BE13+($BF13*(F13/$H13))+(-$BP13*(F13/$H13))+(BP13*(F13/$H13)),AND(A13&gt;=DA$4,B13&gt;=DB$4,$AQ13-SUM($AW13,$AY13:$AZ13)&lt;0),BE13+($BF13*(F13/$H13))+(-$BP13*(F13/$H13))+(BP13*(F13/$H13)),AND(B13&gt;=DB$4,F13&lt;BE13+$BF13-$BP13),F13,AND(B13&gt;=DB$4,$AP13-SUM($AW13,$AY13:$AZ13)&lt;0),BE13+($BF13*(F13/$H13))+(-$BP13*(F13/$H13))+(BP13*(F13/$H13)),B13&gt;=DB$4,BE13+$BF13-$BP13)</f>
        <v>0</v>
      </c>
      <c r="BJ13" s="64" cm="1">
        <f t="array" ref="BJ13">IF(AW13+BA13+BG13&gt;0, AW13+BA13+BG13-_xlfn.IFS(AND(A13&gt;=65,B13&gt;=65),VLOOKUP(Setup!I$4,Lookups!C$133:F$136,4),OR(A13&gt;=65,B13&gt;=65),VLOOKUP(Setup!I$4,Lookups!C$133:E$136,3),AND(A13&lt;65,B13&lt;65),VLOOKUP(Setup!I$4,Lookups!C$133:D$136,2)),0)</f>
        <v>0</v>
      </c>
      <c r="BK13" s="1" cm="1">
        <f t="array" ref="BK13">IF(BJ13&gt;0,_xlfn.IFS(Setup!I$4=Lookups!D$109,-_xlfn.IFS($BJ13&gt;=Lookups!D$157, Lookups!F$157+($BJ13-Lookups!D$157)*Lookups!G$157,$BJ13&gt;=Lookups!D$156, Lookups!F$156+($BJ13-Lookups!D$156)*Lookups!G$156,$BJ13&gt;=Lookups!D$155, Lookups!F$155+($BJ13-Lookups!D$155)*Lookups!G$155,$BJ13&gt;=Lookups!D$154, Lookups!F$154+($BJ13-Lookups!D$154)*Lookups!G$154,$BJ13&gt;=Lookups!D$153, Lookups!F$153+($BJ13-Lookups!D$153)*Lookups!G$153,$BJ13&gt;=Lookups!D$152, Lookups!F$152+($BJ13-Lookups!D$152)*Lookups!G$152,$BJ13&lt;Lookups!D$152,$BJ13*Lookups!G$151),Setup!I$4=Lookups!D$110,-_xlfn.IFS($BJ13&gt;=Lookups!D$167, Lookups!F$167+($BJ13-Lookups!D$167)*Lookups!G$167,$BJ13&gt;=Lookups!D$166, Lookups!F$166+($BJ13-Lookups!D$166)*Lookups!G$166,$BJ13&gt;=Lookups!D$165, Lookups!F$165+($BJ13-Lookups!D$165)*Lookups!G$165,$BJ13&gt;=Lookups!D$164, Lookups!F$164+($BJ13-Lookups!D$164)*Lookups!G$164,$BJ13&gt;=Lookups!D$163, Lookups!F$163+($BJ13-Lookups!D$163)*Lookups!G$163,$BJ13&gt;=Lookups!D$162, Lookups!F$162+($BJ13-Lookups!D$162)*Lookups!G$162,$BJ13&lt;Lookups!D$162,$BJ13*Lookups!G$161),Setup!I$4=Lookups!D$111,-_xlfn.IFS($BJ13&gt;=Lookups!D$177, Lookups!F$177+($BJ13-Lookups!D$177)*Lookups!G$177,$BJ13&gt;=Lookups!D$176, Lookups!F$176+($BJ13-Lookups!D$176)*Lookups!G$176,$BJ13&gt;=Lookups!D$175, Lookups!F$175+($BJ13-Lookups!D$175)*Lookups!G$175,$BJ13&gt;=Lookups!D$174, Lookups!F$174+($BJ13-Lookups!D$174)*Lookups!G$174,$BJ13&gt;=Lookups!D$173, Lookups!F$173+($BJ13-Lookups!D$173)*Lookups!G$173,$BJ13&gt;=Lookups!D$172, Lookups!F$172+($BJ13-Lookups!D$172)*Lookups!G$172,$BJ13&lt;Lookups!D$172,$BJ13*Lookups!G$171), Setup!I$4=Lookups!D$112,-_xlfn.IFS($BJ13&gt;=Lookups!D$187, Lookups!F$187+($BJ13-Lookups!D$187)*Lookups!G$187,$BJ13&gt;=Lookups!D$186, Lookups!F$186+($BJ13-Lookups!D$186)*Lookups!G$186,$BJ13&gt;=Lookups!D$185, Lookups!F$185+($BJ13-Lookups!D$185)*Lookups!G$185,$BJ13&gt;=Lookups!D$184, Lookups!F$184+($BJ13-Lookups!D$184)*Lookups!G$184,$BJ13&gt;=Lookups!D$183, Lookups!F$183+($BJ13-Lookups!D$183)*Lookups!G$183,$BJ13&gt;=Lookups!D$182, Lookups!F$182+($BJ13-Lookups!D$182)*Lookups!G$182,$BJ13&lt;Lookups!D$182,$BJ13*Lookups!G$181)),0)</f>
        <v>0</v>
      </c>
      <c r="BL13" s="18">
        <f t="shared" si="10"/>
        <v>0</v>
      </c>
      <c r="BM13" s="134">
        <f t="shared" si="24"/>
        <v>0</v>
      </c>
      <c r="BN13" s="134" cm="1">
        <f t="array" aca="1" ref="BN13" ca="1">INDIRECT(Setup!I$6&amp;"!"&amp;"A"&amp;ROW())</f>
        <v>0</v>
      </c>
      <c r="BO13" s="134">
        <f t="shared" si="25"/>
        <v>0</v>
      </c>
      <c r="BP13" s="1">
        <f t="shared" si="11"/>
        <v>0</v>
      </c>
      <c r="BQ13" s="1">
        <f t="shared" si="26"/>
        <v>0</v>
      </c>
      <c r="BS13" s="1">
        <f t="shared" si="27"/>
        <v>0</v>
      </c>
      <c r="BT13" s="1" cm="1">
        <f t="array" ref="BT13">-IF(BS13&gt;0,_xlfn.IFS((AW13+BA13+BG13+BS13)&gt;=VLOOKUP(Setup!I$4,Lookups!C$210:E$213,3),BS13*Lookups!D$203,(AW13+BA13+BG13+BS13)&gt;=VLOOKUP(Setup!I$4,Lookups!C$210:E$213,2),BS13*Lookups!D$197,(AW13+BA13+BG13+BS13)&lt;VLOOKUP(Setup!I$4,Lookups!C$210:E$213,2),0),0)</f>
        <v>0</v>
      </c>
      <c r="BU13" s="18">
        <f t="shared" si="28"/>
        <v>0</v>
      </c>
      <c r="BV13" s="1">
        <f t="shared" si="29"/>
        <v>0</v>
      </c>
      <c r="BW13" s="1" cm="1">
        <f t="array" aca="1" ref="BW13" ca="1">INDIRECT(Setup!I$6&amp;"!"&amp;"A"&amp;ROW()+100)</f>
        <v>0</v>
      </c>
      <c r="BX13" s="1">
        <f t="shared" ca="1" si="15"/>
        <v>0</v>
      </c>
      <c r="BY13" s="1">
        <f t="shared" ca="1" si="16"/>
        <v>0</v>
      </c>
      <c r="CA13" s="1">
        <f t="shared" si="34"/>
        <v>0</v>
      </c>
      <c r="CC13" s="1" cm="1">
        <f t="array" ref="CC13">_xlfn.IFS(AND(A13&lt;$DA$4,B13&lt;$DB$4),0,AND(AND(A13&gt;=$DA$4,B13&gt;=$DB$4),AND(A13&lt;=$DA$6,B13&lt;=$DB$6),AND(BH13=0,BI13=0)),SUM(AW13,AY13:AZ13,BD13:BF13,BP13,BS13,CA13)-AQ13,AND(AND(A13&gt;=$DA$4,B13&gt;=$DB$4),AND(A13&lt;=$DA$6,B13&lt;=$DB$6)),SUM(AW13,AY13:AZ13,BD13:BF13,BS13,CA13)-AQ13,AND(OR(A13&gt;=$DA$4,B13&gt;=$DB$4),AND(BH13=0,BI13=0)),SUM(AW13,AY13:AZ13,BD13:BF13,BP13,BS13,CA13)-AP13,OR(A13&gt;=$DA$4,B13&gt;=$DB$4),SUM(AW13,AY13:AZ13,BD13:BF13,BS13,CA13)-AP13)</f>
        <v>0</v>
      </c>
      <c r="CD13" s="142" t="str">
        <f t="shared" si="30"/>
        <v/>
      </c>
    </row>
    <row r="14" spans="1:112" x14ac:dyDescent="0.3">
      <c r="A14" s="354">
        <f t="shared" si="31"/>
        <v>7</v>
      </c>
      <c r="B14" s="354">
        <f t="shared" si="32"/>
        <v>7</v>
      </c>
      <c r="C14" s="359">
        <f t="shared" si="33"/>
        <v>2558</v>
      </c>
      <c r="D14" s="326" cm="1">
        <f t="array" ref="D14">_xlfn.IFS(AND(A14&gt;DA$6,B14&gt;DB$6),0,AND(A14&gt;DA$3,A14&lt;=DA$4),D13*(1+DH$1),OR(A14&gt;DA$6,A14&gt;DA$4),(D13-BH13)*(1+DH$2),A14&lt;=DA$4,(D13*(1+DH$1))+(D$4))</f>
        <v>0</v>
      </c>
      <c r="E14" s="375"/>
      <c r="F14" s="326" cm="1">
        <f t="array" ref="F14">_xlfn.IFS(AND(A14&gt;DA$6,B14&gt;DB$6),0,AND(B14&gt;DB$3,B14&lt;=DB$4),F13*(1+DH$1),OR(B14&gt;DB$6,B14&gt;DB$4),(F13-BI13)*(1+DH$2),B14&lt;=DB$4,(F13*(1+DH$1))+(F$4))</f>
        <v>0</v>
      </c>
      <c r="G14" s="375"/>
      <c r="H14" s="1">
        <f t="shared" si="17"/>
        <v>0</v>
      </c>
      <c r="I14" s="2">
        <f t="shared" si="2"/>
        <v>0</v>
      </c>
      <c r="J14" s="14">
        <f t="shared" si="35"/>
        <v>0</v>
      </c>
      <c r="L14" s="402" cm="1">
        <f t="array" ref="L14">_xlfn.IFS(AND(A14&gt;DA$6,B14&gt;DB$6),0,A14&lt;DA$6,0,A14=DA$6,L$4,AND(A14&gt;DA$6,B14&lt;=DB$4),L13*(1+DH$1),AND(A14&gt;DA$6,B14&gt;DB$4),IF(Y13=0,0,(L13-((L13/Y13)*BY13))*(1+DH$2)))</f>
        <v>0</v>
      </c>
      <c r="M14" s="402" cm="1">
        <f t="array" ref="M14">_xlfn.IFS(AND(A14&gt;DA$6,B14&gt;DB$6),0,B14&lt;DB$6,0,B14=DB$6,M$4,AND(B14&gt;DB$6,A14&lt;=DA$4),M13*(1+DH$1),AND(A14&gt;DA$4,B14&gt;DB$6),IF(Y13=0,0,(M13-((M13/Y13)*BY13))*(1+DH$2)))</f>
        <v>0</v>
      </c>
      <c r="N14" s="327"/>
      <c r="O14" s="327" cm="1">
        <f t="array" ref="O14">_xlfn.IFS(OR(ISBLANK(Setup!C$63),Setup!C$63&gt;YEAR(C14),AND(A14&gt;DA$6,B14&gt;DB$6),ISBLANK(Y13)),0,Setup!C$63=YEAR(C14),Setup!C$62,AND(OR(A14&lt;=DA$4,B14&lt;=DB$4),Setup!C$63&lt;YEAR(C14)),O13*(1+DH$1),AND(A14&gt;DA$4,B14&gt;DB$4,Setup!C$63&lt;YEAR(C14)),IF(Y13=0,0,(O13-((O13/Y13)*BY13))*(1+DH$2)))</f>
        <v>0</v>
      </c>
      <c r="P14" s="327" cm="1">
        <f t="array" ref="P14">_xlfn.IFS(OR(ISBLANK(Setup!C$67),Setup!C$67&gt;YEAR(C14),AND(A14&gt;DA$6,B14&gt;DB$6)),0,Setup!C$67=YEAR(C14),Setup!C$66,AND(OR(A14&lt;=DA$4,B14&lt;=DB$4),Setup!C$67&lt;YEAR(C14)),P13*(1+DH$1),AND(A14&gt;DA$4,B14&gt;DB$4,Setup!C$67&lt;YEAR(C14)),IF(Y13=0,0,(P13-((P13/Y13)*BY13))*(1+DH$2)))</f>
        <v>0</v>
      </c>
      <c r="Q14" s="327" cm="1">
        <f t="array" ref="Q14">_xlfn.IFS(OR(ISBLANK(Setup!C$71),Setup!C$71&gt;YEAR(C14),AND(A14&gt;DA$6,B14&gt;DB$6)),0,Setup!C$71=YEAR(C14),Setup!C$70,AND(OR(A14&lt;=DA$4,B14&lt;=DB$4),Setup!C$71&lt;YEAR(C14)),Q13*(1+DH$1),AND(A14&gt;DA$4,B14&gt;DB$4,Setup!C$71&lt;YEAR(C14)),IF(Y13=0,0,(Q13-((Q13/Y13)*BY13))*(1+DH$2)))</f>
        <v>0</v>
      </c>
      <c r="R14" s="327" cm="1">
        <f t="array" ref="R14">_xlfn.IFS(OR(ISBLANK(Setup!C$75),Setup!C$75&gt;YEAR(C14),AND(A14&gt;DA$6,B14&gt;DB$6)),0,Setup!C$75=YEAR(C14),Setup!C$74,AND(OR(A14&lt;=DA$4,B14&lt;=DB$4),Setup!C$75&lt;YEAR(C14)),R13*(1+DH$1),AND(A14&gt;DA$4,B14&gt;DB$4,Setup!C$75&lt;YEAR(C14)),IF(Y13=0,0,(R13-((R13/Y13)*BY13))*(1+DH$2)))</f>
        <v>0</v>
      </c>
      <c r="S14" s="327"/>
      <c r="T14" s="326" cm="1">
        <f t="array" ref="T14">_xlfn.IFS(AND($A14&gt;$DA$6,$B14&gt;$DB$6),0,AND($W$2=$DA$2,$A14&gt;$DA$4),IF($Y13=0,0,(T13-((T13/$Y13)*$BY13))*(1+$DH$2)),AND($W$2=$DB$2,$B14&gt;$DB$4),IF($Y13=0,0,(T13-((T13/$Y13)*$BY13))*(1+$DH$2)),AND($W$2=$DA$2,OR($A14&gt;$DA$3,$A14&gt;$DA$6)),(T13*(1+$DH$1)),AND($W$2=$DB$2,OR($B14&gt;$DB$3,$B14&gt;$DB$6)),(T13*(1+$DH$1)),AND($W$2=$DA$2,$A14&lt;=$DA$3,$A14&lt;=$DA$4,$A14&lt;=$DA$5),(T13*(1+$DH$1))+(T$4),AND($W$2=$DB$2,$B14&lt;=$DB$3,$B14&lt;=$DB$4,$B14&lt;=$DB$5),(T13*(1+$DH$1))+(T$4))</f>
        <v>0</v>
      </c>
      <c r="U14" s="326" cm="1">
        <f t="array" ref="U14">_xlfn.IFS(AND($A14&gt;$DA$6,$B14&gt;$DB$6),0,AND($W$2=$DA$2,$A14&gt;$DA$4),IF($Y13=0,0,(U13-((U13/$Y13)*$BY13))*(1+$DH$2)),AND($W$2=$DB$2,$B14&gt;$DB$4),IF($Y13=0,0,(U13-((U13/$Y13)*$BY13))*(1+$DH$2)),AND($W$2=$DA$2,OR($A14&gt;$DA$3,$A14&gt;$DA$6)),(U13*(1+$DH$1)),AND($W$2=$DB$2,OR($B14&gt;$DB$3,$B14&gt;$DB$6)),(U13*(1+$DH$1)),AND($W$2=$DA$2,$A14&lt;=$DA$3,$A14&lt;=$DA$4,$A14&lt;=$DA$5),(U13*(1+$DH$1))+(U$4),AND($W$2=$DB$2,$B14&lt;=$DB$3,$B14&lt;=$DB$4,$B14&lt;=$DB$5),(U13*(1+$DH$1))+(U$4))</f>
        <v>0</v>
      </c>
      <c r="V14" s="326" cm="1">
        <f t="array" ref="V14">_xlfn.IFS(AND($A14&gt;$DA$6,$B14&gt;$DB$6),0,AND($W$2=$DA$2,$A14&gt;$DA$4),IF($Y13=0,0,(V13-((V13/$Y13)*$BY13))*(1+$DH$2)),AND($W$2=$DB$2,$B14&gt;$DB$4),IF($Y13=0,0,(V13-((V13/$Y13)*$BY13))*(1+$DH$2)),AND($W$2=$DA$2,OR($A14&gt;$DA$3,$A14&gt;$DA$6)),(V13*(1+$DH$1)),AND($W$2=$DB$2,OR($B14&gt;$DB$3,$B14&gt;$DB$6)),(V13*(1+$DH$1)),AND($W$2=$DA$2,$A14&lt;=$DA$3,$A14&lt;=$DA$4,$A14&lt;=$DA$5),(V13*(1+$DH$1))+(V$4),AND($W$2=$DB$2,$B14&lt;=$DB$3,$B14&lt;=$DB$4,$B14&lt;=$DB$5),(V13*(1+$DH$1))+(V$4))</f>
        <v>0</v>
      </c>
      <c r="W14" s="326" cm="1">
        <f t="array" ref="W14">_xlfn.IFS(AND($A14&gt;$DA$6,$B14&gt;$DB$6),0,AND($W$2=$DA$2,$A14&gt;$DA$4),IF($Y13=0,0,(W13-((W13/$Y13)*$BY13))*(1+$DH$2)),AND($W$2=$DB$2,$B14&gt;$DB$4),IF($Y13=0,0,(W13-((W13/$Y13)*$BY13))*(1+$DH$2)),AND($W$2=$DA$2,OR($A14&gt;$DA$3,$A14&gt;$DA$6)),(W13*(1+$DH$1)),AND($W$2=$DB$2,OR($B14&gt;$DB$3,$B14&gt;$DB$6)),(W13*(1+$DH$1)),AND($W$2=$DA$2,$A14&lt;=$DA$3,$A14&lt;=$DA$4,$A14&lt;=$DA$5),(W13*(1+$DH$1))+(W$4),AND($W$2=$DB$2,$B14&lt;=$DB$3,$B14&lt;=$DB$4,$B14&lt;=$DB$5),(W13*(1+$DH$1))+(W$4))</f>
        <v>0</v>
      </c>
      <c r="Y14" s="1">
        <f t="shared" si="18"/>
        <v>0</v>
      </c>
      <c r="Z14" s="2">
        <f t="shared" si="19"/>
        <v>0</v>
      </c>
      <c r="AA14" s="375"/>
      <c r="AC14" s="326" cm="1">
        <f t="array" ref="AC14">_xlfn.IFS(AND(A14&gt;DA$6,B14&gt;DB$6),0,AND(A14&gt;DA$4,B14&gt;DB$4),IF(AG13=0,0,(AC13-((AC13/AG13)*CA13))*(1+DH$2)),OR(A14&gt;DA$3,A14&gt;DA$6),AC13*(1+DH$1),A14&gt;DA$4,(AC13-CA13)*(1+DH$2),AND(A14&lt;=DA$3,A14&lt;=DA$4,A14&lt;=DA$6),(AC13*(1+DH$1))+(AC$4))</f>
        <v>0</v>
      </c>
      <c r="AD14" s="375"/>
      <c r="AE14" s="326" cm="1">
        <f t="array" ref="AE14">_xlfn.IFS(AND(A14&gt;DA$6,B14&gt;DB$6),0,AND(A14&gt;DA$4,B14&gt;DB$4),IF(AG13=0,0,(AE13-((AE13/AG13)*CA13))*(1+DH$2)),OR(B14&gt;DB$3,B14&gt;DB$6),AE13*(1+DH$1),B14&gt;DB$4,(AE13-CA13)*(1+DH$2),AND(B14&lt;=DB$3,B14&lt;=DB$4,B14&lt;=DB$6),(AE13*(1+DH$1))+(AE$4))</f>
        <v>0</v>
      </c>
      <c r="AF14" s="375"/>
      <c r="AG14" s="1">
        <f t="shared" si="5"/>
        <v>0</v>
      </c>
      <c r="AH14" s="2">
        <f t="shared" si="20"/>
        <v>0</v>
      </c>
      <c r="AI14" s="14">
        <f t="shared" si="6"/>
        <v>0</v>
      </c>
      <c r="AK14" s="1">
        <f t="shared" si="21"/>
        <v>0</v>
      </c>
      <c r="AL14" s="14">
        <f t="shared" si="22"/>
        <v>0</v>
      </c>
      <c r="AM14" s="14" t="str">
        <f t="shared" si="23"/>
        <v/>
      </c>
      <c r="AO14" s="15">
        <f t="shared" si="7"/>
        <v>0</v>
      </c>
      <c r="AP14" s="1">
        <f>IF(AND(B14&gt;=$DB$6,A14&gt;=$DA$6),0,AP13*(1+Lookups!C$12))</f>
        <v>0</v>
      </c>
      <c r="AQ14" s="1">
        <f>IF(AND(B14&gt;=$DB$6,A14&gt;=$DA$6),0,AQ13*(1+Lookups!C$12))</f>
        <v>0</v>
      </c>
      <c r="AS14" s="1" cm="1">
        <f t="array" ref="AS14">_xlfn.IFS(OR(AS$6="",AND(A14&gt;=DA$6,B14&gt;=DB$6),AND(A14&lt;DA$4,B14&lt;DB$4)),0,AND(A14=DA$4,DA$4&lt;=DB$4),AS$6,AND(B14=DB$4,DA$4&gt;=DB$4),AS$6,OR(A14&gt;DA$4,B14&gt;DB$4),AS13*(1+Setup!C$103))</f>
        <v>0</v>
      </c>
      <c r="AT14" s="1" cm="1">
        <f t="array" ref="AT14">_xlfn.IFS(OR(AT$6="",AND(A14&gt;=DA$6,B14&gt;=DB$6),AND(A14&lt;DA$4,B14&lt;DB$4)),0,AND(A14=DA$4,DA$4&lt;=DB$4),AT$6,AND(B14=DB$4,DA$4&gt;=DB$4),AT$6,OR(A14&gt;DA$4,B14&gt;DB$4),AT13*(1+Setup!C$103))</f>
        <v>0</v>
      </c>
      <c r="AU14" s="1" cm="1">
        <f t="array" ref="AU14">_xlfn.IFS(OR(AU$6="",AND(A14&gt;=DA$6,B14&gt;=DB$6),AND(A14&lt;DA$4,B14&lt;DB$4)),0,AND(A14=DA$4,DA$4&lt;=DB$4),AU$6,AND(B14=DB$4,DA$4&gt;=DB$4),AU$6,OR(A14&gt;DA$4,B14&gt;DB$4),AU13*(1+Setup!C$103))</f>
        <v>0</v>
      </c>
      <c r="AV14" s="1" cm="1">
        <f t="array" ref="AV14">_xlfn.IFS(OR(AV$6="",AND(A14&gt;=DA$6,B14&gt;=DB$6),AND(A14&lt;DA$4,B14&lt;DB$4)),0,AND(A14=DA$4,DA$4&lt;=DB$4),AV$6,AND(B14=DB$4,DA$4&gt;=DB$4),AV$6,OR(A14&gt;DA$4,B14&gt;DB$4),AV13*(1+Setup!C$103))</f>
        <v>0</v>
      </c>
      <c r="AW14" s="1">
        <f t="shared" si="8"/>
        <v>0</v>
      </c>
      <c r="AY14" s="1" cm="1">
        <f t="array" ref="AY14">_xlfn.IFS(OR(AND(A14&gt;=DA$6,B14&gt;=DB$6),A14&lt;DA$5),0,AND(A14=DA$5,YEAR(C14)&gt;=Lookups!D$89),VLOOKUP(A14,Lookups!B$94:F$102,3),AND(A14=DA$5,YEAR(C14)&lt;Lookups!D$89),VLOOKUP(A14,Lookups!B$94:F$102,2),AND(A14&gt;DA$5,YEAR(C14)=Lookups!D$89),(AY13*Lookups!D$90)*(1+Lookups!C$20),AND(A14&gt;DA$5,YEAR(C14)&lt;&gt;Lookups!D$89),AY13*(1+Lookups!C$20))</f>
        <v>0</v>
      </c>
      <c r="AZ14" s="1" cm="1">
        <f t="array" ref="AZ14">_xlfn.IFS(OR(ISBLANK(Setup!K$91),Setup!K$91=0,AND(A14&gt;=DA$6,B14&gt;=DB$6),B14&lt;DB$5),0,AND(B14=DB$5,YEAR(C14)&gt;=Lookups!D$89),VLOOKUP(B14,Lookups!B$94:F$102,5),AND(B14=DB$5,YEAR(C14)&lt;Lookups!D$89),VLOOKUP(B14,Lookups!B$94:F$102,4),AND(B14&gt;DB$5,YEAR(C14)=Lookups!D$89),(AZ13*Lookups!D$90)*(1+Lookups!C$20),AND(B14&gt;DB$5,YEAR(C14)&lt;&gt;Lookups!D$89),AZ13*(1+Lookups!C$20))</f>
        <v>0</v>
      </c>
      <c r="BA14" s="65">
        <f>IF(OR(AY14&gt;0,AZ14&gt;0),(AY14+AZ14)*Lookups!D$120,0)</f>
        <v>0</v>
      </c>
      <c r="BB14" s="1" cm="1">
        <f t="array" ref="BB14">_xlfn.IFS(AND(A14&lt;DA$4,B14&lt;DB$4),0,OR(_xlfn.XOR(A14&gt;DA$6,B14&gt;DB$6),_xlfn.XOR(A14&gt;=DA$4,B14&gt;=DB$4)),IF(AP14-SUM(AW14,AY14:AZ14)&gt;0,AP14-SUM(AW14,AY14:AZ14),0),AQ14-SUM(AW14,AY14:AZ14)&gt;0, AQ14-SUM(AW14,AY14:AZ14),AQ14-SUM(AW14,AY14:AZ14)&lt;=0,0)</f>
        <v>0</v>
      </c>
      <c r="BD14" s="1" cm="1">
        <f t="array" ref="BD14">_xlfn.IFS(AND(A14&gt;=DA$6,B14&gt;=DB$6),0,AND(A14&gt;=DA$6,B14&gt;=Lookups!C$35),D14/VLOOKUP(B14,Lookups!C$37:D$67,2),A14&lt;Lookups!$C$35,0,A14&gt;=Lookups!C$35,D14/VLOOKUP(A14,Lookups!C$37:D$67,2))</f>
        <v>0</v>
      </c>
      <c r="BE14" s="1" cm="1">
        <f t="array" ref="BE14">_xlfn.IFS(AND(A14&gt;=DA$6,B14&gt;=DB$6),0,AND(B14&gt;=DB$6,A14&gt;=Lookups!C$35),F14/VLOOKUP(A14,Lookups!C$37:D$67,2),B14&lt;Lookups!$C$35,0,B14&gt;=Lookups!C$35,F14/VLOOKUP(B14,Lookups!C$37:D$67,2))</f>
        <v>0</v>
      </c>
      <c r="BF14" s="1" cm="1">
        <f t="array" ref="BF14">_xlfn.IFS($BB14&lt;=0,0,AND(A14&gt;=DA$4,B14&gt;=DB$4,$BB14*I14&lt;(BD14+BE14)),0,AND(A14&gt;=DA$4,B14&gt;=DB$4,H14&gt;=(BB14*I14)-BD14-BE14),(BB14*I14)-BD14-BE14,AND(A14&gt;=DA$4,B14&gt;=DB$4,H14&lt;(BB14*I14)-BD14-BE14),H14,AND(A14&gt;=DA$4,$BB14*I14&lt;(BD14)),0,AND(A14&gt;=DA$4,H14&gt;=(BB14*I14)-BD14),(BB14*I14)-BD14,AND(A14&gt;=DA$4,H14&lt;(BB14*I14)-BD14),H14,AND(B14&gt;=DB$4,$BB14*I14&lt;(BE14)),0,AND(B14&gt;=DB$4,H14&gt;=(BB14*I14)-BE14),(BB14*I14)-BE14,AND(B14&gt;=DB$4,H14&lt;(BB14*I14)-BE14),H14)</f>
        <v>0</v>
      </c>
      <c r="BG14" s="1">
        <f t="shared" si="9"/>
        <v>0</v>
      </c>
      <c r="BH14" s="1" cm="1">
        <f t="array" ref="BH14">_xlfn.IFS(OR(D14=0,A14&lt;DA$4),0,AND(A14&gt;=DA$4,B14&gt;=DB$4,D14&lt;BD14+($BF14*(D14/$H14))+(-$BP14*(D14/$H14))),D14,AND(A14&gt;=DA$4,B14&gt;=DB$4,$BB14&gt;$BG14),BD14+($BF14*(D14/$H14))+(-$BP14*(D14/$H14)),AND(A14&gt;=DA$4,B14&gt;=DB$4,OR(A14&gt;DA$6, B14&gt;DB$6),$AP14-SUM($AW14,$AY14:$AZ14)&lt;0),BD14+($BF14*(D14/$H14))+(-$BP14*(D14/$H14))+(BP14*(D14/$H14)),AND(A14&gt;=DA$4,B14&gt;=DB$4,$AQ14-SUM($AW14,$AY14:$AZ14)&lt;0),BD14+($BF14*(D14/$H14))+(-$BP14*(D14/$H14))+(BP14*(D14/$H14)),AND(A14&gt;=DA$4,D14&lt;BD14+$BF14-$BP14),D14,AND(A14&gt;=DA$4,$AP14-SUM($AW14,$AY14:$AZ14)&lt;0),BD14+($BF14*(D14/$H14))+(-$BP14*(D14/$H14))+(BP14*(D14/$H14)),A14&gt;=DA$4,BD14+$BF14-$BP14)</f>
        <v>0</v>
      </c>
      <c r="BI14" s="1" cm="1">
        <f t="array" ref="BI14">_xlfn.IFS(OR(F14=0,B14&lt;DB$4),0,AND(A14&gt;=DA$4,B14&gt;=DB$4,F14&lt;BE14+($BF14*(F14/$H14))+(-$BP14*(F14/$H14))),F14,AND(A14&gt;=DA$4,B14&gt;=DB$4,$BB14&gt;$BG14),BE14+($BF14*(F14/$H14))+(-$BP14*(F14/$H14)),AND(A14&gt;=DA$4,B14&gt;=DB$4,OR(A14&gt;DA$6, B14&gt;DB$6),$AP14-SUM($AW14,$AY14:$AZ14)&lt;0),BE14+($BF14*(F14/$H14))+(-$BP14*(F14/$H14))+(BP14*(F14/$H14)),AND(A14&gt;=DA$4,B14&gt;=DB$4,$AQ14-SUM($AW14,$AY14:$AZ14)&lt;0),BE14+($BF14*(F14/$H14))+(-$BP14*(F14/$H14))+(BP14*(F14/$H14)),AND(B14&gt;=DB$4,F14&lt;BE14+$BF14-$BP14),F14,AND(B14&gt;=DB$4,$AP14-SUM($AW14,$AY14:$AZ14)&lt;0),BE14+($BF14*(F14/$H14))+(-$BP14*(F14/$H14))+(BP14*(F14/$H14)),B14&gt;=DB$4,BE14+$BF14-$BP14)</f>
        <v>0</v>
      </c>
      <c r="BJ14" s="64" cm="1">
        <f t="array" ref="BJ14">IF(AW14+BA14+BG14&gt;0, AW14+BA14+BG14-_xlfn.IFS(AND(A14&gt;=65,B14&gt;=65),VLOOKUP(Setup!I$4,Lookups!C$133:F$136,4),OR(A14&gt;=65,B14&gt;=65),VLOOKUP(Setup!I$4,Lookups!C$133:E$136,3),AND(A14&lt;65,B14&lt;65),VLOOKUP(Setup!I$4,Lookups!C$133:D$136,2)),0)</f>
        <v>0</v>
      </c>
      <c r="BK14" s="1" cm="1">
        <f t="array" ref="BK14">IF(BJ14&gt;0,_xlfn.IFS(Setup!I$4=Lookups!D$109,-_xlfn.IFS($BJ14&gt;=Lookups!D$157, Lookups!F$157+($BJ14-Lookups!D$157)*Lookups!G$157,$BJ14&gt;=Lookups!D$156, Lookups!F$156+($BJ14-Lookups!D$156)*Lookups!G$156,$BJ14&gt;=Lookups!D$155, Lookups!F$155+($BJ14-Lookups!D$155)*Lookups!G$155,$BJ14&gt;=Lookups!D$154, Lookups!F$154+($BJ14-Lookups!D$154)*Lookups!G$154,$BJ14&gt;=Lookups!D$153, Lookups!F$153+($BJ14-Lookups!D$153)*Lookups!G$153,$BJ14&gt;=Lookups!D$152, Lookups!F$152+($BJ14-Lookups!D$152)*Lookups!G$152,$BJ14&lt;Lookups!D$152,$BJ14*Lookups!G$151),Setup!I$4=Lookups!D$110,-_xlfn.IFS($BJ14&gt;=Lookups!D$167, Lookups!F$167+($BJ14-Lookups!D$167)*Lookups!G$167,$BJ14&gt;=Lookups!D$166, Lookups!F$166+($BJ14-Lookups!D$166)*Lookups!G$166,$BJ14&gt;=Lookups!D$165, Lookups!F$165+($BJ14-Lookups!D$165)*Lookups!G$165,$BJ14&gt;=Lookups!D$164, Lookups!F$164+($BJ14-Lookups!D$164)*Lookups!G$164,$BJ14&gt;=Lookups!D$163, Lookups!F$163+($BJ14-Lookups!D$163)*Lookups!G$163,$BJ14&gt;=Lookups!D$162, Lookups!F$162+($BJ14-Lookups!D$162)*Lookups!G$162,$BJ14&lt;Lookups!D$162,$BJ14*Lookups!G$161),Setup!I$4=Lookups!D$111,-_xlfn.IFS($BJ14&gt;=Lookups!D$177, Lookups!F$177+($BJ14-Lookups!D$177)*Lookups!G$177,$BJ14&gt;=Lookups!D$176, Lookups!F$176+($BJ14-Lookups!D$176)*Lookups!G$176,$BJ14&gt;=Lookups!D$175, Lookups!F$175+($BJ14-Lookups!D$175)*Lookups!G$175,$BJ14&gt;=Lookups!D$174, Lookups!F$174+($BJ14-Lookups!D$174)*Lookups!G$174,$BJ14&gt;=Lookups!D$173, Lookups!F$173+($BJ14-Lookups!D$173)*Lookups!G$173,$BJ14&gt;=Lookups!D$172, Lookups!F$172+($BJ14-Lookups!D$172)*Lookups!G$172,$BJ14&lt;Lookups!D$172,$BJ14*Lookups!G$171), Setup!I$4=Lookups!D$112,-_xlfn.IFS($BJ14&gt;=Lookups!D$187, Lookups!F$187+($BJ14-Lookups!D$187)*Lookups!G$187,$BJ14&gt;=Lookups!D$186, Lookups!F$186+($BJ14-Lookups!D$186)*Lookups!G$186,$BJ14&gt;=Lookups!D$185, Lookups!F$185+($BJ14-Lookups!D$185)*Lookups!G$185,$BJ14&gt;=Lookups!D$184, Lookups!F$184+($BJ14-Lookups!D$184)*Lookups!G$184,$BJ14&gt;=Lookups!D$183, Lookups!F$183+($BJ14-Lookups!D$183)*Lookups!G$183,$BJ14&gt;=Lookups!D$182, Lookups!F$182+($BJ14-Lookups!D$182)*Lookups!G$182,$BJ14&lt;Lookups!D$182,$BJ14*Lookups!G$181)),0)</f>
        <v>0</v>
      </c>
      <c r="BL14" s="18">
        <f t="shared" si="10"/>
        <v>0</v>
      </c>
      <c r="BM14" s="134">
        <f t="shared" si="24"/>
        <v>0</v>
      </c>
      <c r="BN14" s="134" cm="1">
        <f t="array" aca="1" ref="BN14" ca="1">INDIRECT(Setup!I$6&amp;"!"&amp;"A"&amp;ROW())</f>
        <v>0</v>
      </c>
      <c r="BO14" s="134">
        <f t="shared" si="25"/>
        <v>0</v>
      </c>
      <c r="BP14" s="1">
        <f t="shared" si="11"/>
        <v>0</v>
      </c>
      <c r="BQ14" s="1">
        <f t="shared" si="26"/>
        <v>0</v>
      </c>
      <c r="BS14" s="1">
        <f t="shared" si="27"/>
        <v>0</v>
      </c>
      <c r="BT14" s="1" cm="1">
        <f t="array" ref="BT14">-IF(BS14&gt;0,_xlfn.IFS((AW14+BA14+BG14+BS14)&gt;=VLOOKUP(Setup!I$4,Lookups!C$210:E$213,3),BS14*Lookups!D$203,(AW14+BA14+BG14+BS14)&gt;=VLOOKUP(Setup!I$4,Lookups!C$210:E$213,2),BS14*Lookups!D$197,(AW14+BA14+BG14+BS14)&lt;VLOOKUP(Setup!I$4,Lookups!C$210:E$213,2),0),0)</f>
        <v>0</v>
      </c>
      <c r="BU14" s="18">
        <f t="shared" si="28"/>
        <v>0</v>
      </c>
      <c r="BV14" s="1">
        <f t="shared" si="29"/>
        <v>0</v>
      </c>
      <c r="BW14" s="1" cm="1">
        <f t="array" aca="1" ref="BW14" ca="1">INDIRECT(Setup!I$6&amp;"!"&amp;"A"&amp;ROW()+100)</f>
        <v>0</v>
      </c>
      <c r="BX14" s="1">
        <f t="shared" ca="1" si="15"/>
        <v>0</v>
      </c>
      <c r="BY14" s="1">
        <f t="shared" ca="1" si="16"/>
        <v>0</v>
      </c>
      <c r="CA14" s="1">
        <f t="shared" si="34"/>
        <v>0</v>
      </c>
      <c r="CC14" s="1" cm="1">
        <f t="array" ref="CC14">_xlfn.IFS(AND(A14&lt;$DA$4,B14&lt;$DB$4),0,AND(AND(A14&gt;=$DA$4,B14&gt;=$DB$4),AND(A14&lt;=$DA$6,B14&lt;=$DB$6),AND(BH14=0,BI14=0)),SUM(AW14,AY14:AZ14,BD14:BF14,BP14,BS14,CA14)-AQ14,AND(AND(A14&gt;=$DA$4,B14&gt;=$DB$4),AND(A14&lt;=$DA$6,B14&lt;=$DB$6)),SUM(AW14,AY14:AZ14,BD14:BF14,BS14,CA14)-AQ14,AND(OR(A14&gt;=$DA$4,B14&gt;=$DB$4),AND(BH14=0,BI14=0)),SUM(AW14,AY14:AZ14,BD14:BF14,BP14,BS14,CA14)-AP14,OR(A14&gt;=$DA$4,B14&gt;=$DB$4),SUM(AW14,AY14:AZ14,BD14:BF14,BS14,CA14)-AP14)</f>
        <v>0</v>
      </c>
      <c r="CD14" s="142" t="str">
        <f t="shared" si="30"/>
        <v/>
      </c>
    </row>
    <row r="15" spans="1:112" x14ac:dyDescent="0.3">
      <c r="A15" s="354">
        <f t="shared" si="31"/>
        <v>8</v>
      </c>
      <c r="B15" s="354">
        <f t="shared" si="32"/>
        <v>8</v>
      </c>
      <c r="C15" s="359">
        <f t="shared" si="33"/>
        <v>2923</v>
      </c>
      <c r="D15" s="326" cm="1">
        <f t="array" ref="D15">_xlfn.IFS(AND(A15&gt;DA$6,B15&gt;DB$6),0,AND(A15&gt;DA$3,A15&lt;=DA$4),D14*(1+DH$1),OR(A15&gt;DA$6,A15&gt;DA$4),(D14-BH14)*(1+DH$2),A15&lt;=DA$4,(D14*(1+DH$1))+(D$4))</f>
        <v>0</v>
      </c>
      <c r="E15" s="375"/>
      <c r="F15" s="326" cm="1">
        <f t="array" ref="F15">_xlfn.IFS(AND(A15&gt;DA$6,B15&gt;DB$6),0,AND(B15&gt;DB$3,B15&lt;=DB$4),F14*(1+DH$1),OR(B15&gt;DB$6,B15&gt;DB$4),(F14-BI14)*(1+DH$2),B15&lt;=DB$4,(F14*(1+DH$1))+(F$4))</f>
        <v>0</v>
      </c>
      <c r="G15" s="375"/>
      <c r="H15" s="1">
        <f t="shared" si="17"/>
        <v>0</v>
      </c>
      <c r="I15" s="2">
        <f t="shared" si="2"/>
        <v>0</v>
      </c>
      <c r="J15" s="14">
        <f t="shared" si="35"/>
        <v>0</v>
      </c>
      <c r="L15" s="402" cm="1">
        <f t="array" ref="L15">_xlfn.IFS(AND(A15&gt;DA$6,B15&gt;DB$6),0,A15&lt;DA$6,0,A15=DA$6,L$4,AND(A15&gt;DA$6,B15&lt;=DB$4),L14*(1+DH$1),AND(A15&gt;DA$6,B15&gt;DB$4),IF(Y14=0,0,(L14-((L14/Y14)*BY14))*(1+DH$2)))</f>
        <v>0</v>
      </c>
      <c r="M15" s="402" cm="1">
        <f t="array" ref="M15">_xlfn.IFS(AND(A15&gt;DA$6,B15&gt;DB$6),0,B15&lt;DB$6,0,B15=DB$6,M$4,AND(B15&gt;DB$6,A15&lt;=DA$4),M14*(1+DH$1),AND(A15&gt;DA$4,B15&gt;DB$6),IF(Y14=0,0,(M14-((M14/Y14)*BY14))*(1+DH$2)))</f>
        <v>0</v>
      </c>
      <c r="N15" s="327"/>
      <c r="O15" s="327" cm="1">
        <f t="array" ref="O15">_xlfn.IFS(OR(ISBLANK(Setup!C$63),Setup!C$63&gt;YEAR(C15),AND(A15&gt;DA$6,B15&gt;DB$6),ISBLANK(Y14)),0,Setup!C$63=YEAR(C15),Setup!C$62,AND(OR(A15&lt;=DA$4,B15&lt;=DB$4),Setup!C$63&lt;YEAR(C15)),O14*(1+DH$1),AND(A15&gt;DA$4,B15&gt;DB$4,Setup!C$63&lt;YEAR(C15)),IF(Y14=0,0,(O14-((O14/Y14)*BY14))*(1+DH$2)))</f>
        <v>0</v>
      </c>
      <c r="P15" s="327" cm="1">
        <f t="array" ref="P15">_xlfn.IFS(OR(ISBLANK(Setup!C$67),Setup!C$67&gt;YEAR(C15),AND(A15&gt;DA$6,B15&gt;DB$6)),0,Setup!C$67=YEAR(C15),Setup!C$66,AND(OR(A15&lt;=DA$4,B15&lt;=DB$4),Setup!C$67&lt;YEAR(C15)),P14*(1+DH$1),AND(A15&gt;DA$4,B15&gt;DB$4,Setup!C$67&lt;YEAR(C15)),IF(Y14=0,0,(P14-((P14/Y14)*BY14))*(1+DH$2)))</f>
        <v>0</v>
      </c>
      <c r="Q15" s="327" cm="1">
        <f t="array" ref="Q15">_xlfn.IFS(OR(ISBLANK(Setup!C$71),Setup!C$71&gt;YEAR(C15),AND(A15&gt;DA$6,B15&gt;DB$6)),0,Setup!C$71=YEAR(C15),Setup!C$70,AND(OR(A15&lt;=DA$4,B15&lt;=DB$4),Setup!C$71&lt;YEAR(C15)),Q14*(1+DH$1),AND(A15&gt;DA$4,B15&gt;DB$4,Setup!C$71&lt;YEAR(C15)),IF(Y14=0,0,(Q14-((Q14/Y14)*BY14))*(1+DH$2)))</f>
        <v>0</v>
      </c>
      <c r="R15" s="327" cm="1">
        <f t="array" ref="R15">_xlfn.IFS(OR(ISBLANK(Setup!C$75),Setup!C$75&gt;YEAR(C15),AND(A15&gt;DA$6,B15&gt;DB$6)),0,Setup!C$75=YEAR(C15),Setup!C$74,AND(OR(A15&lt;=DA$4,B15&lt;=DB$4),Setup!C$75&lt;YEAR(C15)),R14*(1+DH$1),AND(A15&gt;DA$4,B15&gt;DB$4,Setup!C$75&lt;YEAR(C15)),IF(Y14=0,0,(R14-((R14/Y14)*BY14))*(1+DH$2)))</f>
        <v>0</v>
      </c>
      <c r="S15" s="327"/>
      <c r="T15" s="326" cm="1">
        <f t="array" ref="T15">_xlfn.IFS(AND($A15&gt;$DA$6,$B15&gt;$DB$6),0,AND($W$2=$DA$2,$A15&gt;$DA$4),IF($Y14=0,0,(T14-((T14/$Y14)*$BY14))*(1+$DH$2)),AND($W$2=$DB$2,$B15&gt;$DB$4),IF($Y14=0,0,(T14-((T14/$Y14)*$BY14))*(1+$DH$2)),AND($W$2=$DA$2,OR($A15&gt;$DA$3,$A15&gt;$DA$6)),(T14*(1+$DH$1)),AND($W$2=$DB$2,OR($B15&gt;$DB$3,$B15&gt;$DB$6)),(T14*(1+$DH$1)),AND($W$2=$DA$2,$A15&lt;=$DA$3,$A15&lt;=$DA$4,$A15&lt;=$DA$5),(T14*(1+$DH$1))+(T$4),AND($W$2=$DB$2,$B15&lt;=$DB$3,$B15&lt;=$DB$4,$B15&lt;=$DB$5),(T14*(1+$DH$1))+(T$4))</f>
        <v>0</v>
      </c>
      <c r="U15" s="326" cm="1">
        <f t="array" ref="U15">_xlfn.IFS(AND($A15&gt;$DA$6,$B15&gt;$DB$6),0,AND($W$2=$DA$2,$A15&gt;$DA$4),IF($Y14=0,0,(U14-((U14/$Y14)*$BY14))*(1+$DH$2)),AND($W$2=$DB$2,$B15&gt;$DB$4),IF($Y14=0,0,(U14-((U14/$Y14)*$BY14))*(1+$DH$2)),AND($W$2=$DA$2,OR($A15&gt;$DA$3,$A15&gt;$DA$6)),(U14*(1+$DH$1)),AND($W$2=$DB$2,OR($B15&gt;$DB$3,$B15&gt;$DB$6)),(U14*(1+$DH$1)),AND($W$2=$DA$2,$A15&lt;=$DA$3,$A15&lt;=$DA$4,$A15&lt;=$DA$5),(U14*(1+$DH$1))+(U$4),AND($W$2=$DB$2,$B15&lt;=$DB$3,$B15&lt;=$DB$4,$B15&lt;=$DB$5),(U14*(1+$DH$1))+(U$4))</f>
        <v>0</v>
      </c>
      <c r="V15" s="326" cm="1">
        <f t="array" ref="V15">_xlfn.IFS(AND($A15&gt;$DA$6,$B15&gt;$DB$6),0,AND($W$2=$DA$2,$A15&gt;$DA$4),IF($Y14=0,0,(V14-((V14/$Y14)*$BY14))*(1+$DH$2)),AND($W$2=$DB$2,$B15&gt;$DB$4),IF($Y14=0,0,(V14-((V14/$Y14)*$BY14))*(1+$DH$2)),AND($W$2=$DA$2,OR($A15&gt;$DA$3,$A15&gt;$DA$6)),(V14*(1+$DH$1)),AND($W$2=$DB$2,OR($B15&gt;$DB$3,$B15&gt;$DB$6)),(V14*(1+$DH$1)),AND($W$2=$DA$2,$A15&lt;=$DA$3,$A15&lt;=$DA$4,$A15&lt;=$DA$5),(V14*(1+$DH$1))+(V$4),AND($W$2=$DB$2,$B15&lt;=$DB$3,$B15&lt;=$DB$4,$B15&lt;=$DB$5),(V14*(1+$DH$1))+(V$4))</f>
        <v>0</v>
      </c>
      <c r="W15" s="326" cm="1">
        <f t="array" ref="W15">_xlfn.IFS(AND($A15&gt;$DA$6,$B15&gt;$DB$6),0,AND($W$2=$DA$2,$A15&gt;$DA$4),IF($Y14=0,0,(W14-((W14/$Y14)*$BY14))*(1+$DH$2)),AND($W$2=$DB$2,$B15&gt;$DB$4),IF($Y14=0,0,(W14-((W14/$Y14)*$BY14))*(1+$DH$2)),AND($W$2=$DA$2,OR($A15&gt;$DA$3,$A15&gt;$DA$6)),(W14*(1+$DH$1)),AND($W$2=$DB$2,OR($B15&gt;$DB$3,$B15&gt;$DB$6)),(W14*(1+$DH$1)),AND($W$2=$DA$2,$A15&lt;=$DA$3,$A15&lt;=$DA$4,$A15&lt;=$DA$5),(W14*(1+$DH$1))+(W$4),AND($W$2=$DB$2,$B15&lt;=$DB$3,$B15&lt;=$DB$4,$B15&lt;=$DB$5),(W14*(1+$DH$1))+(W$4))</f>
        <v>0</v>
      </c>
      <c r="Y15" s="1">
        <f t="shared" si="18"/>
        <v>0</v>
      </c>
      <c r="Z15" s="2">
        <f t="shared" si="19"/>
        <v>0</v>
      </c>
      <c r="AA15" s="375"/>
      <c r="AC15" s="326" cm="1">
        <f t="array" ref="AC15">_xlfn.IFS(AND(A15&gt;DA$6,B15&gt;DB$6),0,AND(A15&gt;DA$4,B15&gt;DB$4),IF(AG14=0,0,(AC14-((AC14/AG14)*CA14))*(1+DH$2)),OR(A15&gt;DA$3,A15&gt;DA$6),AC14*(1+DH$1),A15&gt;DA$4,(AC14-CA14)*(1+DH$2),AND(A15&lt;=DA$3,A15&lt;=DA$4,A15&lt;=DA$6),(AC14*(1+DH$1))+(AC$4))</f>
        <v>0</v>
      </c>
      <c r="AD15" s="375"/>
      <c r="AE15" s="326" cm="1">
        <f t="array" ref="AE15">_xlfn.IFS(AND(A15&gt;DA$6,B15&gt;DB$6),0,AND(A15&gt;DA$4,B15&gt;DB$4),IF(AG14=0,0,(AE14-((AE14/AG14)*CA14))*(1+DH$2)),OR(B15&gt;DB$3,B15&gt;DB$6),AE14*(1+DH$1),B15&gt;DB$4,(AE14-CA14)*(1+DH$2),AND(B15&lt;=DB$3,B15&lt;=DB$4,B15&lt;=DB$6),(AE14*(1+DH$1))+(AE$4))</f>
        <v>0</v>
      </c>
      <c r="AF15" s="375"/>
      <c r="AG15" s="1">
        <f t="shared" si="5"/>
        <v>0</v>
      </c>
      <c r="AH15" s="2">
        <f t="shared" si="20"/>
        <v>0</v>
      </c>
      <c r="AI15" s="14">
        <f t="shared" si="6"/>
        <v>0</v>
      </c>
      <c r="AK15" s="1">
        <f t="shared" si="21"/>
        <v>0</v>
      </c>
      <c r="AL15" s="14">
        <f t="shared" si="22"/>
        <v>0</v>
      </c>
      <c r="AM15" s="14" t="str">
        <f t="shared" si="23"/>
        <v/>
      </c>
      <c r="AO15" s="15">
        <f t="shared" si="7"/>
        <v>0</v>
      </c>
      <c r="AP15" s="1">
        <f>IF(AND(B15&gt;=$DB$6,A15&gt;=$DA$6),0,AP14*(1+Lookups!C$12))</f>
        <v>0</v>
      </c>
      <c r="AQ15" s="1">
        <f>IF(AND(B15&gt;=$DB$6,A15&gt;=$DA$6),0,AQ14*(1+Lookups!C$12))</f>
        <v>0</v>
      </c>
      <c r="AS15" s="1" cm="1">
        <f t="array" ref="AS15">_xlfn.IFS(OR(AS$6="",AND(A15&gt;=DA$6,B15&gt;=DB$6),AND(A15&lt;DA$4,B15&lt;DB$4)),0,AND(A15=DA$4,DA$4&lt;=DB$4),AS$6,AND(B15=DB$4,DA$4&gt;=DB$4),AS$6,OR(A15&gt;DA$4,B15&gt;DB$4),AS14*(1+Setup!C$103))</f>
        <v>0</v>
      </c>
      <c r="AT15" s="1" cm="1">
        <f t="array" ref="AT15">_xlfn.IFS(OR(AT$6="",AND(A15&gt;=DA$6,B15&gt;=DB$6),AND(A15&lt;DA$4,B15&lt;DB$4)),0,AND(A15=DA$4,DA$4&lt;=DB$4),AT$6,AND(B15=DB$4,DA$4&gt;=DB$4),AT$6,OR(A15&gt;DA$4,B15&gt;DB$4),AT14*(1+Setup!C$103))</f>
        <v>0</v>
      </c>
      <c r="AU15" s="1" cm="1">
        <f t="array" ref="AU15">_xlfn.IFS(OR(AU$6="",AND(A15&gt;=DA$6,B15&gt;=DB$6),AND(A15&lt;DA$4,B15&lt;DB$4)),0,AND(A15=DA$4,DA$4&lt;=DB$4),AU$6,AND(B15=DB$4,DA$4&gt;=DB$4),AU$6,OR(A15&gt;DA$4,B15&gt;DB$4),AU14*(1+Setup!C$103))</f>
        <v>0</v>
      </c>
      <c r="AV15" s="1" cm="1">
        <f t="array" ref="AV15">_xlfn.IFS(OR(AV$6="",AND(A15&gt;=DA$6,B15&gt;=DB$6),AND(A15&lt;DA$4,B15&lt;DB$4)),0,AND(A15=DA$4,DA$4&lt;=DB$4),AV$6,AND(B15=DB$4,DA$4&gt;=DB$4),AV$6,OR(A15&gt;DA$4,B15&gt;DB$4),AV14*(1+Setup!C$103))</f>
        <v>0</v>
      </c>
      <c r="AW15" s="1">
        <f t="shared" si="8"/>
        <v>0</v>
      </c>
      <c r="AY15" s="1" cm="1">
        <f t="array" ref="AY15">_xlfn.IFS(OR(AND(A15&gt;=DA$6,B15&gt;=DB$6),A15&lt;DA$5),0,AND(A15=DA$5,YEAR(C15)&gt;=Lookups!D$89),VLOOKUP(A15,Lookups!B$94:F$102,3),AND(A15=DA$5,YEAR(C15)&lt;Lookups!D$89),VLOOKUP(A15,Lookups!B$94:F$102,2),AND(A15&gt;DA$5,YEAR(C15)=Lookups!D$89),(AY14*Lookups!D$90)*(1+Lookups!C$20),AND(A15&gt;DA$5,YEAR(C15)&lt;&gt;Lookups!D$89),AY14*(1+Lookups!C$20))</f>
        <v>0</v>
      </c>
      <c r="AZ15" s="1" cm="1">
        <f t="array" ref="AZ15">_xlfn.IFS(OR(ISBLANK(Setup!K$91),Setup!K$91=0,AND(A15&gt;=DA$6,B15&gt;=DB$6),B15&lt;DB$5),0,AND(B15=DB$5,YEAR(C15)&gt;=Lookups!D$89),VLOOKUP(B15,Lookups!B$94:F$102,5),AND(B15=DB$5,YEAR(C15)&lt;Lookups!D$89),VLOOKUP(B15,Lookups!B$94:F$102,4),AND(B15&gt;DB$5,YEAR(C15)=Lookups!D$89),(AZ14*Lookups!D$90)*(1+Lookups!C$20),AND(B15&gt;DB$5,YEAR(C15)&lt;&gt;Lookups!D$89),AZ14*(1+Lookups!C$20))</f>
        <v>0</v>
      </c>
      <c r="BA15" s="65">
        <f>IF(OR(AY15&gt;0,AZ15&gt;0),(AY15+AZ15)*Lookups!D$120,0)</f>
        <v>0</v>
      </c>
      <c r="BB15" s="1" cm="1">
        <f t="array" ref="BB15">_xlfn.IFS(AND(A15&lt;DA$4,B15&lt;DB$4),0,OR(_xlfn.XOR(A15&gt;DA$6,B15&gt;DB$6),_xlfn.XOR(A15&gt;=DA$4,B15&gt;=DB$4)),IF(AP15-SUM(AW15,AY15:AZ15)&gt;0,AP15-SUM(AW15,AY15:AZ15),0),AQ15-SUM(AW15,AY15:AZ15)&gt;0, AQ15-SUM(AW15,AY15:AZ15),AQ15-SUM(AW15,AY15:AZ15)&lt;=0,0)</f>
        <v>0</v>
      </c>
      <c r="BD15" s="1" cm="1">
        <f t="array" ref="BD15">_xlfn.IFS(AND(A15&gt;=DA$6,B15&gt;=DB$6),0,AND(A15&gt;=DA$6,B15&gt;=Lookups!C$35),D15/VLOOKUP(B15,Lookups!C$37:D$67,2),A15&lt;Lookups!$C$35,0,A15&gt;=Lookups!C$35,D15/VLOOKUP(A15,Lookups!C$37:D$67,2))</f>
        <v>0</v>
      </c>
      <c r="BE15" s="1" cm="1">
        <f t="array" ref="BE15">_xlfn.IFS(AND(A15&gt;=DA$6,B15&gt;=DB$6),0,AND(B15&gt;=DB$6,A15&gt;=Lookups!C$35),F15/VLOOKUP(A15,Lookups!C$37:D$67,2),B15&lt;Lookups!$C$35,0,B15&gt;=Lookups!C$35,F15/VLOOKUP(B15,Lookups!C$37:D$67,2))</f>
        <v>0</v>
      </c>
      <c r="BF15" s="1" cm="1">
        <f t="array" ref="BF15">_xlfn.IFS($BB15&lt;=0,0,AND(A15&gt;=DA$4,B15&gt;=DB$4,$BB15*I15&lt;(BD15+BE15)),0,AND(A15&gt;=DA$4,B15&gt;=DB$4,H15&gt;=(BB15*I15)-BD15-BE15),(BB15*I15)-BD15-BE15,AND(A15&gt;=DA$4,B15&gt;=DB$4,H15&lt;(BB15*I15)-BD15-BE15),H15,AND(A15&gt;=DA$4,$BB15*I15&lt;(BD15)),0,AND(A15&gt;=DA$4,H15&gt;=(BB15*I15)-BD15),(BB15*I15)-BD15,AND(A15&gt;=DA$4,H15&lt;(BB15*I15)-BD15),H15,AND(B15&gt;=DB$4,$BB15*I15&lt;(BE15)),0,AND(B15&gt;=DB$4,H15&gt;=(BB15*I15)-BE15),(BB15*I15)-BE15,AND(B15&gt;=DB$4,H15&lt;(BB15*I15)-BE15),H15)</f>
        <v>0</v>
      </c>
      <c r="BG15" s="1">
        <f t="shared" si="9"/>
        <v>0</v>
      </c>
      <c r="BH15" s="1" cm="1">
        <f t="array" ref="BH15">_xlfn.IFS(OR(D15=0,A15&lt;DA$4),0,AND(A15&gt;=DA$4,B15&gt;=DB$4,D15&lt;BD15+($BF15*(D15/$H15))+(-$BP15*(D15/$H15))),D15,AND(A15&gt;=DA$4,B15&gt;=DB$4,$BB15&gt;$BG15),BD15+($BF15*(D15/$H15))+(-$BP15*(D15/$H15)),AND(A15&gt;=DA$4,B15&gt;=DB$4,OR(A15&gt;DA$6, B15&gt;DB$6),$AP15-SUM($AW15,$AY15:$AZ15)&lt;0),BD15+($BF15*(D15/$H15))+(-$BP15*(D15/$H15))+(BP15*(D15/$H15)),AND(A15&gt;=DA$4,B15&gt;=DB$4,$AQ15-SUM($AW15,$AY15:$AZ15)&lt;0),BD15+($BF15*(D15/$H15))+(-$BP15*(D15/$H15))+(BP15*(D15/$H15)),AND(A15&gt;=DA$4,D15&lt;BD15+$BF15-$BP15),D15,AND(A15&gt;=DA$4,$AP15-SUM($AW15,$AY15:$AZ15)&lt;0),BD15+($BF15*(D15/$H15))+(-$BP15*(D15/$H15))+(BP15*(D15/$H15)),A15&gt;=DA$4,BD15+$BF15-$BP15)</f>
        <v>0</v>
      </c>
      <c r="BI15" s="1" cm="1">
        <f t="array" ref="BI15">_xlfn.IFS(OR(F15=0,B15&lt;DB$4),0,AND(A15&gt;=DA$4,B15&gt;=DB$4,F15&lt;BE15+($BF15*(F15/$H15))+(-$BP15*(F15/$H15))),F15,AND(A15&gt;=DA$4,B15&gt;=DB$4,$BB15&gt;$BG15),BE15+($BF15*(F15/$H15))+(-$BP15*(F15/$H15)),AND(A15&gt;=DA$4,B15&gt;=DB$4,OR(A15&gt;DA$6, B15&gt;DB$6),$AP15-SUM($AW15,$AY15:$AZ15)&lt;0),BE15+($BF15*(F15/$H15))+(-$BP15*(F15/$H15))+(BP15*(F15/$H15)),AND(A15&gt;=DA$4,B15&gt;=DB$4,$AQ15-SUM($AW15,$AY15:$AZ15)&lt;0),BE15+($BF15*(F15/$H15))+(-$BP15*(F15/$H15))+(BP15*(F15/$H15)),AND(B15&gt;=DB$4,F15&lt;BE15+$BF15-$BP15),F15,AND(B15&gt;=DB$4,$AP15-SUM($AW15,$AY15:$AZ15)&lt;0),BE15+($BF15*(F15/$H15))+(-$BP15*(F15/$H15))+(BP15*(F15/$H15)),B15&gt;=DB$4,BE15+$BF15-$BP15)</f>
        <v>0</v>
      </c>
      <c r="BJ15" s="64" cm="1">
        <f t="array" ref="BJ15">IF(AW15+BA15+BG15&gt;0, AW15+BA15+BG15-_xlfn.IFS(AND(A15&gt;=65,B15&gt;=65),VLOOKUP(Setup!I$4,Lookups!C$133:F$136,4),OR(A15&gt;=65,B15&gt;=65),VLOOKUP(Setup!I$4,Lookups!C$133:E$136,3),AND(A15&lt;65,B15&lt;65),VLOOKUP(Setup!I$4,Lookups!C$133:D$136,2)),0)</f>
        <v>0</v>
      </c>
      <c r="BK15" s="1" cm="1">
        <f t="array" ref="BK15">IF(BJ15&gt;0,_xlfn.IFS(Setup!I$4=Lookups!D$109,-_xlfn.IFS($BJ15&gt;=Lookups!D$157, Lookups!F$157+($BJ15-Lookups!D$157)*Lookups!G$157,$BJ15&gt;=Lookups!D$156, Lookups!F$156+($BJ15-Lookups!D$156)*Lookups!G$156,$BJ15&gt;=Lookups!D$155, Lookups!F$155+($BJ15-Lookups!D$155)*Lookups!G$155,$BJ15&gt;=Lookups!D$154, Lookups!F$154+($BJ15-Lookups!D$154)*Lookups!G$154,$BJ15&gt;=Lookups!D$153, Lookups!F$153+($BJ15-Lookups!D$153)*Lookups!G$153,$BJ15&gt;=Lookups!D$152, Lookups!F$152+($BJ15-Lookups!D$152)*Lookups!G$152,$BJ15&lt;Lookups!D$152,$BJ15*Lookups!G$151),Setup!I$4=Lookups!D$110,-_xlfn.IFS($BJ15&gt;=Lookups!D$167, Lookups!F$167+($BJ15-Lookups!D$167)*Lookups!G$167,$BJ15&gt;=Lookups!D$166, Lookups!F$166+($BJ15-Lookups!D$166)*Lookups!G$166,$BJ15&gt;=Lookups!D$165, Lookups!F$165+($BJ15-Lookups!D$165)*Lookups!G$165,$BJ15&gt;=Lookups!D$164, Lookups!F$164+($BJ15-Lookups!D$164)*Lookups!G$164,$BJ15&gt;=Lookups!D$163, Lookups!F$163+($BJ15-Lookups!D$163)*Lookups!G$163,$BJ15&gt;=Lookups!D$162, Lookups!F$162+($BJ15-Lookups!D$162)*Lookups!G$162,$BJ15&lt;Lookups!D$162,$BJ15*Lookups!G$161),Setup!I$4=Lookups!D$111,-_xlfn.IFS($BJ15&gt;=Lookups!D$177, Lookups!F$177+($BJ15-Lookups!D$177)*Lookups!G$177,$BJ15&gt;=Lookups!D$176, Lookups!F$176+($BJ15-Lookups!D$176)*Lookups!G$176,$BJ15&gt;=Lookups!D$175, Lookups!F$175+($BJ15-Lookups!D$175)*Lookups!G$175,$BJ15&gt;=Lookups!D$174, Lookups!F$174+($BJ15-Lookups!D$174)*Lookups!G$174,$BJ15&gt;=Lookups!D$173, Lookups!F$173+($BJ15-Lookups!D$173)*Lookups!G$173,$BJ15&gt;=Lookups!D$172, Lookups!F$172+($BJ15-Lookups!D$172)*Lookups!G$172,$BJ15&lt;Lookups!D$172,$BJ15*Lookups!G$171), Setup!I$4=Lookups!D$112,-_xlfn.IFS($BJ15&gt;=Lookups!D$187, Lookups!F$187+($BJ15-Lookups!D$187)*Lookups!G$187,$BJ15&gt;=Lookups!D$186, Lookups!F$186+($BJ15-Lookups!D$186)*Lookups!G$186,$BJ15&gt;=Lookups!D$185, Lookups!F$185+($BJ15-Lookups!D$185)*Lookups!G$185,$BJ15&gt;=Lookups!D$184, Lookups!F$184+($BJ15-Lookups!D$184)*Lookups!G$184,$BJ15&gt;=Lookups!D$183, Lookups!F$183+($BJ15-Lookups!D$183)*Lookups!G$183,$BJ15&gt;=Lookups!D$182, Lookups!F$182+($BJ15-Lookups!D$182)*Lookups!G$182,$BJ15&lt;Lookups!D$182,$BJ15*Lookups!G$181)),0)</f>
        <v>0</v>
      </c>
      <c r="BL15" s="18">
        <f t="shared" si="10"/>
        <v>0</v>
      </c>
      <c r="BM15" s="134">
        <f t="shared" si="24"/>
        <v>0</v>
      </c>
      <c r="BN15" s="134" cm="1">
        <f t="array" aca="1" ref="BN15" ca="1">INDIRECT(Setup!I$6&amp;"!"&amp;"A"&amp;ROW())</f>
        <v>0</v>
      </c>
      <c r="BO15" s="134">
        <f t="shared" si="25"/>
        <v>0</v>
      </c>
      <c r="BP15" s="1">
        <f t="shared" si="11"/>
        <v>0</v>
      </c>
      <c r="BQ15" s="1">
        <f t="shared" si="26"/>
        <v>0</v>
      </c>
      <c r="BS15" s="1">
        <f t="shared" si="27"/>
        <v>0</v>
      </c>
      <c r="BT15" s="1" cm="1">
        <f t="array" ref="BT15">-IF(BS15&gt;0,_xlfn.IFS((AW15+BA15+BG15+BS15)&gt;=VLOOKUP(Setup!I$4,Lookups!C$210:E$213,3),BS15*Lookups!D$203,(AW15+BA15+BG15+BS15)&gt;=VLOOKUP(Setup!I$4,Lookups!C$210:E$213,2),BS15*Lookups!D$197,(AW15+BA15+BG15+BS15)&lt;VLOOKUP(Setup!I$4,Lookups!C$210:E$213,2),0),0)</f>
        <v>0</v>
      </c>
      <c r="BU15" s="18">
        <f t="shared" si="28"/>
        <v>0</v>
      </c>
      <c r="BV15" s="1">
        <f t="shared" si="29"/>
        <v>0</v>
      </c>
      <c r="BW15" s="1" cm="1">
        <f t="array" aca="1" ref="BW15" ca="1">INDIRECT(Setup!I$6&amp;"!"&amp;"A"&amp;ROW()+100)</f>
        <v>0</v>
      </c>
      <c r="BX15" s="1">
        <f t="shared" ca="1" si="15"/>
        <v>0</v>
      </c>
      <c r="BY15" s="1">
        <f t="shared" ca="1" si="16"/>
        <v>0</v>
      </c>
      <c r="CA15" s="1">
        <f t="shared" si="34"/>
        <v>0</v>
      </c>
      <c r="CC15" s="1" cm="1">
        <f t="array" ref="CC15">_xlfn.IFS(AND(A15&lt;$DA$4,B15&lt;$DB$4),0,AND(AND(A15&gt;=$DA$4,B15&gt;=$DB$4),AND(A15&lt;=$DA$6,B15&lt;=$DB$6),AND(BH15=0,BI15=0)),SUM(AW15,AY15:AZ15,BD15:BF15,BP15,BS15,CA15)-AQ15,AND(AND(A15&gt;=$DA$4,B15&gt;=$DB$4),AND(A15&lt;=$DA$6,B15&lt;=$DB$6)),SUM(AW15,AY15:AZ15,BD15:BF15,BS15,CA15)-AQ15,AND(OR(A15&gt;=$DA$4,B15&gt;=$DB$4),AND(BH15=0,BI15=0)),SUM(AW15,AY15:AZ15,BD15:BF15,BP15,BS15,CA15)-AP15,OR(A15&gt;=$DA$4,B15&gt;=$DB$4),SUM(AW15,AY15:AZ15,BD15:BF15,BS15,CA15)-AP15)</f>
        <v>0</v>
      </c>
      <c r="CD15" s="142" t="str">
        <f t="shared" si="30"/>
        <v/>
      </c>
    </row>
    <row r="16" spans="1:112" x14ac:dyDescent="0.3">
      <c r="A16" s="354">
        <f t="shared" si="31"/>
        <v>9</v>
      </c>
      <c r="B16" s="354">
        <f t="shared" si="32"/>
        <v>9</v>
      </c>
      <c r="C16" s="359">
        <f t="shared" si="33"/>
        <v>3289</v>
      </c>
      <c r="D16" s="326" cm="1">
        <f t="array" ref="D16">_xlfn.IFS(AND(A16&gt;DA$6,B16&gt;DB$6),0,AND(A16&gt;DA$3,A16&lt;=DA$4),D15*(1+DH$1),OR(A16&gt;DA$6,A16&gt;DA$4),(D15-BH15)*(1+DH$2),A16&lt;=DA$4,(D15*(1+DH$1))+(D$4))</f>
        <v>0</v>
      </c>
      <c r="E16" s="375"/>
      <c r="F16" s="326" cm="1">
        <f t="array" ref="F16">_xlfn.IFS(AND(A16&gt;DA$6,B16&gt;DB$6),0,AND(B16&gt;DB$3,B16&lt;=DB$4),F15*(1+DH$1),OR(B16&gt;DB$6,B16&gt;DB$4),(F15-BI15)*(1+DH$2),B16&lt;=DB$4,(F15*(1+DH$1))+(F$4))</f>
        <v>0</v>
      </c>
      <c r="G16" s="375"/>
      <c r="H16" s="1">
        <f t="shared" si="17"/>
        <v>0</v>
      </c>
      <c r="I16" s="2">
        <f t="shared" si="2"/>
        <v>0</v>
      </c>
      <c r="J16" s="14">
        <f t="shared" si="35"/>
        <v>0</v>
      </c>
      <c r="L16" s="402" cm="1">
        <f t="array" ref="L16">_xlfn.IFS(AND(A16&gt;DA$6,B16&gt;DB$6),0,A16&lt;DA$6,0,A16=DA$6,L$4,AND(A16&gt;DA$6,B16&lt;=DB$4),L15*(1+DH$1),AND(A16&gt;DA$6,B16&gt;DB$4),IF(Y15=0,0,(L15-((L15/Y15)*BY15))*(1+DH$2)))</f>
        <v>0</v>
      </c>
      <c r="M16" s="402" cm="1">
        <f t="array" ref="M16">_xlfn.IFS(AND(A16&gt;DA$6,B16&gt;DB$6),0,B16&lt;DB$6,0,B16=DB$6,M$4,AND(B16&gt;DB$6,A16&lt;=DA$4),M15*(1+DH$1),AND(A16&gt;DA$4,B16&gt;DB$6),IF(Y15=0,0,(M15-((M15/Y15)*BY15))*(1+DH$2)))</f>
        <v>0</v>
      </c>
      <c r="N16" s="327"/>
      <c r="O16" s="327" cm="1">
        <f t="array" ref="O16">_xlfn.IFS(OR(ISBLANK(Setup!C$63),Setup!C$63&gt;YEAR(C16),AND(A16&gt;DA$6,B16&gt;DB$6),ISBLANK(Y15)),0,Setup!C$63=YEAR(C16),Setup!C$62,AND(OR(A16&lt;=DA$4,B16&lt;=DB$4),Setup!C$63&lt;YEAR(C16)),O15*(1+DH$1),AND(A16&gt;DA$4,B16&gt;DB$4,Setup!C$63&lt;YEAR(C16)),IF(Y15=0,0,(O15-((O15/Y15)*BY15))*(1+DH$2)))</f>
        <v>0</v>
      </c>
      <c r="P16" s="327" cm="1">
        <f t="array" ref="P16">_xlfn.IFS(OR(ISBLANK(Setup!C$67),Setup!C$67&gt;YEAR(C16),AND(A16&gt;DA$6,B16&gt;DB$6)),0,Setup!C$67=YEAR(C16),Setup!C$66,AND(OR(A16&lt;=DA$4,B16&lt;=DB$4),Setup!C$67&lt;YEAR(C16)),P15*(1+DH$1),AND(A16&gt;DA$4,B16&gt;DB$4,Setup!C$67&lt;YEAR(C16)),IF(Y15=0,0,(P15-((P15/Y15)*BY15))*(1+DH$2)))</f>
        <v>0</v>
      </c>
      <c r="Q16" s="327" cm="1">
        <f t="array" ref="Q16">_xlfn.IFS(OR(ISBLANK(Setup!C$71),Setup!C$71&gt;YEAR(C16),AND(A16&gt;DA$6,B16&gt;DB$6)),0,Setup!C$71=YEAR(C16),Setup!C$70,AND(OR(A16&lt;=DA$4,B16&lt;=DB$4),Setup!C$71&lt;YEAR(C16)),Q15*(1+DH$1),AND(A16&gt;DA$4,B16&gt;DB$4,Setup!C$71&lt;YEAR(C16)),IF(Y15=0,0,(Q15-((Q15/Y15)*BY15))*(1+DH$2)))</f>
        <v>0</v>
      </c>
      <c r="R16" s="327" cm="1">
        <f t="array" ref="R16">_xlfn.IFS(OR(ISBLANK(Setup!C$75),Setup!C$75&gt;YEAR(C16),AND(A16&gt;DA$6,B16&gt;DB$6)),0,Setup!C$75=YEAR(C16),Setup!C$74,AND(OR(A16&lt;=DA$4,B16&lt;=DB$4),Setup!C$75&lt;YEAR(C16)),R15*(1+DH$1),AND(A16&gt;DA$4,B16&gt;DB$4,Setup!C$75&lt;YEAR(C16)),IF(Y15=0,0,(R15-((R15/Y15)*BY15))*(1+DH$2)))</f>
        <v>0</v>
      </c>
      <c r="S16" s="327"/>
      <c r="T16" s="326" cm="1">
        <f t="array" ref="T16">_xlfn.IFS(AND($A16&gt;$DA$6,$B16&gt;$DB$6),0,AND($W$2=$DA$2,$A16&gt;$DA$4),IF($Y15=0,0,(T15-((T15/$Y15)*$BY15))*(1+$DH$2)),AND($W$2=$DB$2,$B16&gt;$DB$4),IF($Y15=0,0,(T15-((T15/$Y15)*$BY15))*(1+$DH$2)),AND($W$2=$DA$2,OR($A16&gt;$DA$3,$A16&gt;$DA$6)),(T15*(1+$DH$1)),AND($W$2=$DB$2,OR($B16&gt;$DB$3,$B16&gt;$DB$6)),(T15*(1+$DH$1)),AND($W$2=$DA$2,$A16&lt;=$DA$3,$A16&lt;=$DA$4,$A16&lt;=$DA$5),(T15*(1+$DH$1))+(T$4),AND($W$2=$DB$2,$B16&lt;=$DB$3,$B16&lt;=$DB$4,$B16&lt;=$DB$5),(T15*(1+$DH$1))+(T$4))</f>
        <v>0</v>
      </c>
      <c r="U16" s="326" cm="1">
        <f t="array" ref="U16">_xlfn.IFS(AND($A16&gt;$DA$6,$B16&gt;$DB$6),0,AND($W$2=$DA$2,$A16&gt;$DA$4),IF($Y15=0,0,(U15-((U15/$Y15)*$BY15))*(1+$DH$2)),AND($W$2=$DB$2,$B16&gt;$DB$4),IF($Y15=0,0,(U15-((U15/$Y15)*$BY15))*(1+$DH$2)),AND($W$2=$DA$2,OR($A16&gt;$DA$3,$A16&gt;$DA$6)),(U15*(1+$DH$1)),AND($W$2=$DB$2,OR($B16&gt;$DB$3,$B16&gt;$DB$6)),(U15*(1+$DH$1)),AND($W$2=$DA$2,$A16&lt;=$DA$3,$A16&lt;=$DA$4,$A16&lt;=$DA$5),(U15*(1+$DH$1))+(U$4),AND($W$2=$DB$2,$B16&lt;=$DB$3,$B16&lt;=$DB$4,$B16&lt;=$DB$5),(U15*(1+$DH$1))+(U$4))</f>
        <v>0</v>
      </c>
      <c r="V16" s="326" cm="1">
        <f t="array" ref="V16">_xlfn.IFS(AND($A16&gt;$DA$6,$B16&gt;$DB$6),0,AND($W$2=$DA$2,$A16&gt;$DA$4),IF($Y15=0,0,(V15-((V15/$Y15)*$BY15))*(1+$DH$2)),AND($W$2=$DB$2,$B16&gt;$DB$4),IF($Y15=0,0,(V15-((V15/$Y15)*$BY15))*(1+$DH$2)),AND($W$2=$DA$2,OR($A16&gt;$DA$3,$A16&gt;$DA$6)),(V15*(1+$DH$1)),AND($W$2=$DB$2,OR($B16&gt;$DB$3,$B16&gt;$DB$6)),(V15*(1+$DH$1)),AND($W$2=$DA$2,$A16&lt;=$DA$3,$A16&lt;=$DA$4,$A16&lt;=$DA$5),(V15*(1+$DH$1))+(V$4),AND($W$2=$DB$2,$B16&lt;=$DB$3,$B16&lt;=$DB$4,$B16&lt;=$DB$5),(V15*(1+$DH$1))+(V$4))</f>
        <v>0</v>
      </c>
      <c r="W16" s="326" cm="1">
        <f t="array" ref="W16">_xlfn.IFS(AND($A16&gt;$DA$6,$B16&gt;$DB$6),0,AND($W$2=$DA$2,$A16&gt;$DA$4),IF($Y15=0,0,(W15-((W15/$Y15)*$BY15))*(1+$DH$2)),AND($W$2=$DB$2,$B16&gt;$DB$4),IF($Y15=0,0,(W15-((W15/$Y15)*$BY15))*(1+$DH$2)),AND($W$2=$DA$2,OR($A16&gt;$DA$3,$A16&gt;$DA$6)),(W15*(1+$DH$1)),AND($W$2=$DB$2,OR($B16&gt;$DB$3,$B16&gt;$DB$6)),(W15*(1+$DH$1)),AND($W$2=$DA$2,$A16&lt;=$DA$3,$A16&lt;=$DA$4,$A16&lt;=$DA$5),(W15*(1+$DH$1))+(W$4),AND($W$2=$DB$2,$B16&lt;=$DB$3,$B16&lt;=$DB$4,$B16&lt;=$DB$5),(W15*(1+$DH$1))+(W$4))</f>
        <v>0</v>
      </c>
      <c r="Y16" s="1">
        <f t="shared" si="18"/>
        <v>0</v>
      </c>
      <c r="Z16" s="2">
        <f t="shared" si="19"/>
        <v>0</v>
      </c>
      <c r="AA16" s="375"/>
      <c r="AC16" s="326" cm="1">
        <f t="array" ref="AC16">_xlfn.IFS(AND(A16&gt;DA$6,B16&gt;DB$6),0,AND(A16&gt;DA$4,B16&gt;DB$4),IF(AG15=0,0,(AC15-((AC15/AG15)*CA15))*(1+DH$2)),OR(A16&gt;DA$3,A16&gt;DA$6),AC15*(1+DH$1),A16&gt;DA$4,(AC15-CA15)*(1+DH$2),AND(A16&lt;=DA$3,A16&lt;=DA$4,A16&lt;=DA$6),(AC15*(1+DH$1))+(AC$4))</f>
        <v>0</v>
      </c>
      <c r="AD16" s="375"/>
      <c r="AE16" s="326" cm="1">
        <f t="array" ref="AE16">_xlfn.IFS(AND(A16&gt;DA$6,B16&gt;DB$6),0,AND(A16&gt;DA$4,B16&gt;DB$4),IF(AG15=0,0,(AE15-((AE15/AG15)*CA15))*(1+DH$2)),OR(B16&gt;DB$3,B16&gt;DB$6),AE15*(1+DH$1),B16&gt;DB$4,(AE15-CA15)*(1+DH$2),AND(B16&lt;=DB$3,B16&lt;=DB$4,B16&lt;=DB$6),(AE15*(1+DH$1))+(AE$4))</f>
        <v>0</v>
      </c>
      <c r="AF16" s="375"/>
      <c r="AG16" s="1">
        <f t="shared" si="5"/>
        <v>0</v>
      </c>
      <c r="AH16" s="2">
        <f t="shared" si="20"/>
        <v>0</v>
      </c>
      <c r="AI16" s="14">
        <f t="shared" si="6"/>
        <v>0</v>
      </c>
      <c r="AK16" s="1">
        <f t="shared" si="21"/>
        <v>0</v>
      </c>
      <c r="AL16" s="14">
        <f t="shared" si="22"/>
        <v>0</v>
      </c>
      <c r="AM16" s="14" t="str">
        <f t="shared" si="23"/>
        <v/>
      </c>
      <c r="AO16" s="15">
        <f t="shared" si="7"/>
        <v>0</v>
      </c>
      <c r="AP16" s="1">
        <f>IF(AND(B16&gt;=$DB$6,A16&gt;=$DA$6),0,AP15*(1+Lookups!C$12))</f>
        <v>0</v>
      </c>
      <c r="AQ16" s="1">
        <f>IF(AND(B16&gt;=$DB$6,A16&gt;=$DA$6),0,AQ15*(1+Lookups!C$12))</f>
        <v>0</v>
      </c>
      <c r="AS16" s="1" cm="1">
        <f t="array" ref="AS16">_xlfn.IFS(OR(AS$6="",AND(A16&gt;=DA$6,B16&gt;=DB$6),AND(A16&lt;DA$4,B16&lt;DB$4)),0,AND(A16=DA$4,DA$4&lt;=DB$4),AS$6,AND(B16=DB$4,DA$4&gt;=DB$4),AS$6,OR(A16&gt;DA$4,B16&gt;DB$4),AS15*(1+Setup!C$103))</f>
        <v>0</v>
      </c>
      <c r="AT16" s="1" cm="1">
        <f t="array" ref="AT16">_xlfn.IFS(OR(AT$6="",AND(A16&gt;=DA$6,B16&gt;=DB$6),AND(A16&lt;DA$4,B16&lt;DB$4)),0,AND(A16=DA$4,DA$4&lt;=DB$4),AT$6,AND(B16=DB$4,DA$4&gt;=DB$4),AT$6,OR(A16&gt;DA$4,B16&gt;DB$4),AT15*(1+Setup!C$103))</f>
        <v>0</v>
      </c>
      <c r="AU16" s="1" cm="1">
        <f t="array" ref="AU16">_xlfn.IFS(OR(AU$6="",AND(A16&gt;=DA$6,B16&gt;=DB$6),AND(A16&lt;DA$4,B16&lt;DB$4)),0,AND(A16=DA$4,DA$4&lt;=DB$4),AU$6,AND(B16=DB$4,DA$4&gt;=DB$4),AU$6,OR(A16&gt;DA$4,B16&gt;DB$4),AU15*(1+Setup!C$103))</f>
        <v>0</v>
      </c>
      <c r="AV16" s="1" cm="1">
        <f t="array" ref="AV16">_xlfn.IFS(OR(AV$6="",AND(A16&gt;=DA$6,B16&gt;=DB$6),AND(A16&lt;DA$4,B16&lt;DB$4)),0,AND(A16=DA$4,DA$4&lt;=DB$4),AV$6,AND(B16=DB$4,DA$4&gt;=DB$4),AV$6,OR(A16&gt;DA$4,B16&gt;DB$4),AV15*(1+Setup!C$103))</f>
        <v>0</v>
      </c>
      <c r="AW16" s="1">
        <f t="shared" si="8"/>
        <v>0</v>
      </c>
      <c r="AY16" s="1" cm="1">
        <f t="array" ref="AY16">_xlfn.IFS(OR(AND(A16&gt;=DA$6,B16&gt;=DB$6),A16&lt;DA$5),0,AND(A16=DA$5,YEAR(C16)&gt;=Lookups!D$89),VLOOKUP(A16,Lookups!B$94:F$102,3),AND(A16=DA$5,YEAR(C16)&lt;Lookups!D$89),VLOOKUP(A16,Lookups!B$94:F$102,2),AND(A16&gt;DA$5,YEAR(C16)=Lookups!D$89),(AY15*Lookups!D$90)*(1+Lookups!C$20),AND(A16&gt;DA$5,YEAR(C16)&lt;&gt;Lookups!D$89),AY15*(1+Lookups!C$20))</f>
        <v>0</v>
      </c>
      <c r="AZ16" s="1" cm="1">
        <f t="array" ref="AZ16">_xlfn.IFS(OR(ISBLANK(Setup!K$91),Setup!K$91=0,AND(A16&gt;=DA$6,B16&gt;=DB$6),B16&lt;DB$5),0,AND(B16=DB$5,YEAR(C16)&gt;=Lookups!D$89),VLOOKUP(B16,Lookups!B$94:F$102,5),AND(B16=DB$5,YEAR(C16)&lt;Lookups!D$89),VLOOKUP(B16,Lookups!B$94:F$102,4),AND(B16&gt;DB$5,YEAR(C16)=Lookups!D$89),(AZ15*Lookups!D$90)*(1+Lookups!C$20),AND(B16&gt;DB$5,YEAR(C16)&lt;&gt;Lookups!D$89),AZ15*(1+Lookups!C$20))</f>
        <v>0</v>
      </c>
      <c r="BA16" s="65">
        <f>IF(OR(AY16&gt;0,AZ16&gt;0),(AY16+AZ16)*Lookups!D$120,0)</f>
        <v>0</v>
      </c>
      <c r="BB16" s="1" cm="1">
        <f t="array" ref="BB16">_xlfn.IFS(AND(A16&lt;DA$4,B16&lt;DB$4),0,OR(_xlfn.XOR(A16&gt;DA$6,B16&gt;DB$6),_xlfn.XOR(A16&gt;=DA$4,B16&gt;=DB$4)),IF(AP16-SUM(AW16,AY16:AZ16)&gt;0,AP16-SUM(AW16,AY16:AZ16),0),AQ16-SUM(AW16,AY16:AZ16)&gt;0, AQ16-SUM(AW16,AY16:AZ16),AQ16-SUM(AW16,AY16:AZ16)&lt;=0,0)</f>
        <v>0</v>
      </c>
      <c r="BD16" s="1" cm="1">
        <f t="array" ref="BD16">_xlfn.IFS(AND(A16&gt;=DA$6,B16&gt;=DB$6),0,AND(A16&gt;=DA$6,B16&gt;=Lookups!C$35),D16/VLOOKUP(B16,Lookups!C$37:D$67,2),A16&lt;Lookups!$C$35,0,A16&gt;=Lookups!C$35,D16/VLOOKUP(A16,Lookups!C$37:D$67,2))</f>
        <v>0</v>
      </c>
      <c r="BE16" s="1" cm="1">
        <f t="array" ref="BE16">_xlfn.IFS(AND(A16&gt;=DA$6,B16&gt;=DB$6),0,AND(B16&gt;=DB$6,A16&gt;=Lookups!C$35),F16/VLOOKUP(A16,Lookups!C$37:D$67,2),B16&lt;Lookups!$C$35,0,B16&gt;=Lookups!C$35,F16/VLOOKUP(B16,Lookups!C$37:D$67,2))</f>
        <v>0</v>
      </c>
      <c r="BF16" s="1" cm="1">
        <f t="array" ref="BF16">_xlfn.IFS($BB16&lt;=0,0,AND(A16&gt;=DA$4,B16&gt;=DB$4,$BB16*I16&lt;(BD16+BE16)),0,AND(A16&gt;=DA$4,B16&gt;=DB$4,H16&gt;=(BB16*I16)-BD16-BE16),(BB16*I16)-BD16-BE16,AND(A16&gt;=DA$4,B16&gt;=DB$4,H16&lt;(BB16*I16)-BD16-BE16),H16,AND(A16&gt;=DA$4,$BB16*I16&lt;(BD16)),0,AND(A16&gt;=DA$4,H16&gt;=(BB16*I16)-BD16),(BB16*I16)-BD16,AND(A16&gt;=DA$4,H16&lt;(BB16*I16)-BD16),H16,AND(B16&gt;=DB$4,$BB16*I16&lt;(BE16)),0,AND(B16&gt;=DB$4,H16&gt;=(BB16*I16)-BE16),(BB16*I16)-BE16,AND(B16&gt;=DB$4,H16&lt;(BB16*I16)-BE16),H16)</f>
        <v>0</v>
      </c>
      <c r="BG16" s="1">
        <f t="shared" si="9"/>
        <v>0</v>
      </c>
      <c r="BH16" s="1" cm="1">
        <f t="array" ref="BH16">_xlfn.IFS(OR(D16=0,A16&lt;DA$4),0,AND(A16&gt;=DA$4,B16&gt;=DB$4,D16&lt;BD16+($BF16*(D16/$H16))+(-$BP16*(D16/$H16))),D16,AND(A16&gt;=DA$4,B16&gt;=DB$4,$BB16&gt;$BG16),BD16+($BF16*(D16/$H16))+(-$BP16*(D16/$H16)),AND(A16&gt;=DA$4,B16&gt;=DB$4,OR(A16&gt;DA$6, B16&gt;DB$6),$AP16-SUM($AW16,$AY16:$AZ16)&lt;0),BD16+($BF16*(D16/$H16))+(-$BP16*(D16/$H16))+(BP16*(D16/$H16)),AND(A16&gt;=DA$4,B16&gt;=DB$4,$AQ16-SUM($AW16,$AY16:$AZ16)&lt;0),BD16+($BF16*(D16/$H16))+(-$BP16*(D16/$H16))+(BP16*(D16/$H16)),AND(A16&gt;=DA$4,D16&lt;BD16+$BF16-$BP16),D16,AND(A16&gt;=DA$4,$AP16-SUM($AW16,$AY16:$AZ16)&lt;0),BD16+($BF16*(D16/$H16))+(-$BP16*(D16/$H16))+(BP16*(D16/$H16)),A16&gt;=DA$4,BD16+$BF16-$BP16)</f>
        <v>0</v>
      </c>
      <c r="BI16" s="1" cm="1">
        <f t="array" ref="BI16">_xlfn.IFS(OR(F16=0,B16&lt;DB$4),0,AND(A16&gt;=DA$4,B16&gt;=DB$4,F16&lt;BE16+($BF16*(F16/$H16))+(-$BP16*(F16/$H16))),F16,AND(A16&gt;=DA$4,B16&gt;=DB$4,$BB16&gt;$BG16),BE16+($BF16*(F16/$H16))+(-$BP16*(F16/$H16)),AND(A16&gt;=DA$4,B16&gt;=DB$4,OR(A16&gt;DA$6, B16&gt;DB$6),$AP16-SUM($AW16,$AY16:$AZ16)&lt;0),BE16+($BF16*(F16/$H16))+(-$BP16*(F16/$H16))+(BP16*(F16/$H16)),AND(A16&gt;=DA$4,B16&gt;=DB$4,$AQ16-SUM($AW16,$AY16:$AZ16)&lt;0),BE16+($BF16*(F16/$H16))+(-$BP16*(F16/$H16))+(BP16*(F16/$H16)),AND(B16&gt;=DB$4,F16&lt;BE16+$BF16-$BP16),F16,AND(B16&gt;=DB$4,$AP16-SUM($AW16,$AY16:$AZ16)&lt;0),BE16+($BF16*(F16/$H16))+(-$BP16*(F16/$H16))+(BP16*(F16/$H16)),B16&gt;=DB$4,BE16+$BF16-$BP16)</f>
        <v>0</v>
      </c>
      <c r="BJ16" s="64" cm="1">
        <f t="array" ref="BJ16">IF(AW16+BA16+BG16&gt;0, AW16+BA16+BG16-_xlfn.IFS(AND(A16&gt;=65,B16&gt;=65),VLOOKUP(Setup!I$4,Lookups!C$133:F$136,4),OR(A16&gt;=65,B16&gt;=65),VLOOKUP(Setup!I$4,Lookups!C$133:E$136,3),AND(A16&lt;65,B16&lt;65),VLOOKUP(Setup!I$4,Lookups!C$133:D$136,2)),0)</f>
        <v>0</v>
      </c>
      <c r="BK16" s="1" cm="1">
        <f t="array" ref="BK16">IF(BJ16&gt;0,_xlfn.IFS(Setup!I$4=Lookups!D$109,-_xlfn.IFS($BJ16&gt;=Lookups!D$157, Lookups!F$157+($BJ16-Lookups!D$157)*Lookups!G$157,$BJ16&gt;=Lookups!D$156, Lookups!F$156+($BJ16-Lookups!D$156)*Lookups!G$156,$BJ16&gt;=Lookups!D$155, Lookups!F$155+($BJ16-Lookups!D$155)*Lookups!G$155,$BJ16&gt;=Lookups!D$154, Lookups!F$154+($BJ16-Lookups!D$154)*Lookups!G$154,$BJ16&gt;=Lookups!D$153, Lookups!F$153+($BJ16-Lookups!D$153)*Lookups!G$153,$BJ16&gt;=Lookups!D$152, Lookups!F$152+($BJ16-Lookups!D$152)*Lookups!G$152,$BJ16&lt;Lookups!D$152,$BJ16*Lookups!G$151),Setup!I$4=Lookups!D$110,-_xlfn.IFS($BJ16&gt;=Lookups!D$167, Lookups!F$167+($BJ16-Lookups!D$167)*Lookups!G$167,$BJ16&gt;=Lookups!D$166, Lookups!F$166+($BJ16-Lookups!D$166)*Lookups!G$166,$BJ16&gt;=Lookups!D$165, Lookups!F$165+($BJ16-Lookups!D$165)*Lookups!G$165,$BJ16&gt;=Lookups!D$164, Lookups!F$164+($BJ16-Lookups!D$164)*Lookups!G$164,$BJ16&gt;=Lookups!D$163, Lookups!F$163+($BJ16-Lookups!D$163)*Lookups!G$163,$BJ16&gt;=Lookups!D$162, Lookups!F$162+($BJ16-Lookups!D$162)*Lookups!G$162,$BJ16&lt;Lookups!D$162,$BJ16*Lookups!G$161),Setup!I$4=Lookups!D$111,-_xlfn.IFS($BJ16&gt;=Lookups!D$177, Lookups!F$177+($BJ16-Lookups!D$177)*Lookups!G$177,$BJ16&gt;=Lookups!D$176, Lookups!F$176+($BJ16-Lookups!D$176)*Lookups!G$176,$BJ16&gt;=Lookups!D$175, Lookups!F$175+($BJ16-Lookups!D$175)*Lookups!G$175,$BJ16&gt;=Lookups!D$174, Lookups!F$174+($BJ16-Lookups!D$174)*Lookups!G$174,$BJ16&gt;=Lookups!D$173, Lookups!F$173+($BJ16-Lookups!D$173)*Lookups!G$173,$BJ16&gt;=Lookups!D$172, Lookups!F$172+($BJ16-Lookups!D$172)*Lookups!G$172,$BJ16&lt;Lookups!D$172,$BJ16*Lookups!G$171), Setup!I$4=Lookups!D$112,-_xlfn.IFS($BJ16&gt;=Lookups!D$187, Lookups!F$187+($BJ16-Lookups!D$187)*Lookups!G$187,$BJ16&gt;=Lookups!D$186, Lookups!F$186+($BJ16-Lookups!D$186)*Lookups!G$186,$BJ16&gt;=Lookups!D$185, Lookups!F$185+($BJ16-Lookups!D$185)*Lookups!G$185,$BJ16&gt;=Lookups!D$184, Lookups!F$184+($BJ16-Lookups!D$184)*Lookups!G$184,$BJ16&gt;=Lookups!D$183, Lookups!F$183+($BJ16-Lookups!D$183)*Lookups!G$183,$BJ16&gt;=Lookups!D$182, Lookups!F$182+($BJ16-Lookups!D$182)*Lookups!G$182,$BJ16&lt;Lookups!D$182,$BJ16*Lookups!G$181)),0)</f>
        <v>0</v>
      </c>
      <c r="BL16" s="18">
        <f t="shared" si="10"/>
        <v>0</v>
      </c>
      <c r="BM16" s="134">
        <f t="shared" si="24"/>
        <v>0</v>
      </c>
      <c r="BN16" s="134" cm="1">
        <f t="array" aca="1" ref="BN16" ca="1">INDIRECT(Setup!I$6&amp;"!"&amp;"A"&amp;ROW())</f>
        <v>0</v>
      </c>
      <c r="BO16" s="134">
        <f t="shared" si="25"/>
        <v>0</v>
      </c>
      <c r="BP16" s="1">
        <f t="shared" si="11"/>
        <v>0</v>
      </c>
      <c r="BQ16" s="1">
        <f t="shared" si="26"/>
        <v>0</v>
      </c>
      <c r="BS16" s="1">
        <f t="shared" si="27"/>
        <v>0</v>
      </c>
      <c r="BT16" s="1" cm="1">
        <f t="array" ref="BT16">-IF(BS16&gt;0,_xlfn.IFS((AW16+BA16+BG16+BS16)&gt;=VLOOKUP(Setup!I$4,Lookups!C$210:E$213,3),BS16*Lookups!D$203,(AW16+BA16+BG16+BS16)&gt;=VLOOKUP(Setup!I$4,Lookups!C$210:E$213,2),BS16*Lookups!D$197,(AW16+BA16+BG16+BS16)&lt;VLOOKUP(Setup!I$4,Lookups!C$210:E$213,2),0),0)</f>
        <v>0</v>
      </c>
      <c r="BU16" s="18">
        <f t="shared" si="28"/>
        <v>0</v>
      </c>
      <c r="BV16" s="1">
        <f t="shared" si="29"/>
        <v>0</v>
      </c>
      <c r="BW16" s="1" cm="1">
        <f t="array" aca="1" ref="BW16" ca="1">INDIRECT(Setup!I$6&amp;"!"&amp;"A"&amp;ROW()+100)</f>
        <v>0</v>
      </c>
      <c r="BX16" s="1">
        <f t="shared" ca="1" si="15"/>
        <v>0</v>
      </c>
      <c r="BY16" s="1">
        <f t="shared" ca="1" si="16"/>
        <v>0</v>
      </c>
      <c r="CA16" s="1">
        <f t="shared" si="34"/>
        <v>0</v>
      </c>
      <c r="CC16" s="1" cm="1">
        <f t="array" ref="CC16">_xlfn.IFS(AND(A16&lt;$DA$4,B16&lt;$DB$4),0,AND(AND(A16&gt;=$DA$4,B16&gt;=$DB$4),AND(A16&lt;=$DA$6,B16&lt;=$DB$6),AND(BH16=0,BI16=0)),SUM(AW16,AY16:AZ16,BD16:BF16,BP16,BS16,CA16)-AQ16,AND(AND(A16&gt;=$DA$4,B16&gt;=$DB$4),AND(A16&lt;=$DA$6,B16&lt;=$DB$6)),SUM(AW16,AY16:AZ16,BD16:BF16,BS16,CA16)-AQ16,AND(OR(A16&gt;=$DA$4,B16&gt;=$DB$4),AND(BH16=0,BI16=0)),SUM(AW16,AY16:AZ16,BD16:BF16,BP16,BS16,CA16)-AP16,OR(A16&gt;=$DA$4,B16&gt;=$DB$4),SUM(AW16,AY16:AZ16,BD16:BF16,BS16,CA16)-AP16)</f>
        <v>0</v>
      </c>
      <c r="CD16" s="142" t="str">
        <f t="shared" si="30"/>
        <v/>
      </c>
    </row>
    <row r="17" spans="1:83" x14ac:dyDescent="0.3">
      <c r="A17" s="354">
        <f t="shared" si="31"/>
        <v>10</v>
      </c>
      <c r="B17" s="354">
        <f t="shared" si="32"/>
        <v>10</v>
      </c>
      <c r="C17" s="359">
        <f t="shared" si="33"/>
        <v>3654</v>
      </c>
      <c r="D17" s="326" cm="1">
        <f t="array" ref="D17">_xlfn.IFS(AND(A17&gt;DA$6,B17&gt;DB$6),0,AND(A17&gt;DA$3,A17&lt;=DA$4),D16*(1+DH$1),OR(A17&gt;DA$6,A17&gt;DA$4),(D16-BH16)*(1+DH$2),A17&lt;=DA$4,(D16*(1+DH$1))+(D$4))</f>
        <v>0</v>
      </c>
      <c r="E17" s="375"/>
      <c r="F17" s="326" cm="1">
        <f t="array" ref="F17">_xlfn.IFS(AND(A17&gt;DA$6,B17&gt;DB$6),0,AND(B17&gt;DB$3,B17&lt;=DB$4),F16*(1+DH$1),OR(B17&gt;DB$6,B17&gt;DB$4),(F16-BI16)*(1+DH$2),B17&lt;=DB$4,(F16*(1+DH$1))+(F$4))</f>
        <v>0</v>
      </c>
      <c r="G17" s="375"/>
      <c r="H17" s="1">
        <f t="shared" si="17"/>
        <v>0</v>
      </c>
      <c r="I17" s="2">
        <f t="shared" si="2"/>
        <v>0</v>
      </c>
      <c r="J17" s="14">
        <f t="shared" si="35"/>
        <v>0</v>
      </c>
      <c r="L17" s="402" cm="1">
        <f t="array" ref="L17">_xlfn.IFS(AND(A17&gt;DA$6,B17&gt;DB$6),0,A17&lt;DA$6,0,A17=DA$6,L$4,AND(A17&gt;DA$6,B17&lt;=DB$4),L16*(1+DH$1),AND(A17&gt;DA$6,B17&gt;DB$4),IF(Y16=0,0,(L16-((L16/Y16)*BY16))*(1+DH$2)))</f>
        <v>0</v>
      </c>
      <c r="M17" s="402" cm="1">
        <f t="array" ref="M17">_xlfn.IFS(AND(A17&gt;DA$6,B17&gt;DB$6),0,B17&lt;DB$6,0,B17=DB$6,M$4,AND(B17&gt;DB$6,A17&lt;=DA$4),M16*(1+DH$1),AND(A17&gt;DA$4,B17&gt;DB$6),IF(Y16=0,0,(M16-((M16/Y16)*BY16))*(1+DH$2)))</f>
        <v>0</v>
      </c>
      <c r="N17" s="327"/>
      <c r="O17" s="327" cm="1">
        <f t="array" ref="O17">_xlfn.IFS(OR(ISBLANK(Setup!C$63),Setup!C$63&gt;YEAR(C17),AND(A17&gt;DA$6,B17&gt;DB$6),ISBLANK(Y16)),0,Setup!C$63=YEAR(C17),Setup!C$62,AND(OR(A17&lt;=DA$4,B17&lt;=DB$4),Setup!C$63&lt;YEAR(C17)),O16*(1+DH$1),AND(A17&gt;DA$4,B17&gt;DB$4,Setup!C$63&lt;YEAR(C17)),IF(Y16=0,0,(O16-((O16/Y16)*BY16))*(1+DH$2)))</f>
        <v>0</v>
      </c>
      <c r="P17" s="327" cm="1">
        <f t="array" ref="P17">_xlfn.IFS(OR(ISBLANK(Setup!C$67),Setup!C$67&gt;YEAR(C17),AND(A17&gt;DA$6,B17&gt;DB$6)),0,Setup!C$67=YEAR(C17),Setup!C$66,AND(OR(A17&lt;=DA$4,B17&lt;=DB$4),Setup!C$67&lt;YEAR(C17)),P16*(1+DH$1),AND(A17&gt;DA$4,B17&gt;DB$4,Setup!C$67&lt;YEAR(C17)),IF(Y16=0,0,(P16-((P16/Y16)*BY16))*(1+DH$2)))</f>
        <v>0</v>
      </c>
      <c r="Q17" s="327" cm="1">
        <f t="array" ref="Q17">_xlfn.IFS(OR(ISBLANK(Setup!C$71),Setup!C$71&gt;YEAR(C17),AND(A17&gt;DA$6,B17&gt;DB$6)),0,Setup!C$71=YEAR(C17),Setup!C$70,AND(OR(A17&lt;=DA$4,B17&lt;=DB$4),Setup!C$71&lt;YEAR(C17)),Q16*(1+DH$1),AND(A17&gt;DA$4,B17&gt;DB$4,Setup!C$71&lt;YEAR(C17)),IF(Y16=0,0,(Q16-((Q16/Y16)*BY16))*(1+DH$2)))</f>
        <v>0</v>
      </c>
      <c r="R17" s="327" cm="1">
        <f t="array" ref="R17">_xlfn.IFS(OR(ISBLANK(Setup!C$75),Setup!C$75&gt;YEAR(C17),AND(A17&gt;DA$6,B17&gt;DB$6)),0,Setup!C$75=YEAR(C17),Setup!C$74,AND(OR(A17&lt;=DA$4,B17&lt;=DB$4),Setup!C$75&lt;YEAR(C17)),R16*(1+DH$1),AND(A17&gt;DA$4,B17&gt;DB$4,Setup!C$75&lt;YEAR(C17)),IF(Y16=0,0,(R16-((R16/Y16)*BY16))*(1+DH$2)))</f>
        <v>0</v>
      </c>
      <c r="S17" s="327"/>
      <c r="T17" s="326" cm="1">
        <f t="array" ref="T17">_xlfn.IFS(AND($A17&gt;$DA$6,$B17&gt;$DB$6),0,AND($W$2=$DA$2,$A17&gt;$DA$4),IF($Y16=0,0,(T16-((T16/$Y16)*$BY16))*(1+$DH$2)),AND($W$2=$DB$2,$B17&gt;$DB$4),IF($Y16=0,0,(T16-((T16/$Y16)*$BY16))*(1+$DH$2)),AND($W$2=$DA$2,OR($A17&gt;$DA$3,$A17&gt;$DA$6)),(T16*(1+$DH$1)),AND($W$2=$DB$2,OR($B17&gt;$DB$3,$B17&gt;$DB$6)),(T16*(1+$DH$1)),AND($W$2=$DA$2,$A17&lt;=$DA$3,$A17&lt;=$DA$4,$A17&lt;=$DA$5),(T16*(1+$DH$1))+(T$4),AND($W$2=$DB$2,$B17&lt;=$DB$3,$B17&lt;=$DB$4,$B17&lt;=$DB$5),(T16*(1+$DH$1))+(T$4))</f>
        <v>0</v>
      </c>
      <c r="U17" s="326" cm="1">
        <f t="array" ref="U17">_xlfn.IFS(AND($A17&gt;$DA$6,$B17&gt;$DB$6),0,AND($W$2=$DA$2,$A17&gt;$DA$4),IF($Y16=0,0,(U16-((U16/$Y16)*$BY16))*(1+$DH$2)),AND($W$2=$DB$2,$B17&gt;$DB$4),IF($Y16=0,0,(U16-((U16/$Y16)*$BY16))*(1+$DH$2)),AND($W$2=$DA$2,OR($A17&gt;$DA$3,$A17&gt;$DA$6)),(U16*(1+$DH$1)),AND($W$2=$DB$2,OR($B17&gt;$DB$3,$B17&gt;$DB$6)),(U16*(1+$DH$1)),AND($W$2=$DA$2,$A17&lt;=$DA$3,$A17&lt;=$DA$4,$A17&lt;=$DA$5),(U16*(1+$DH$1))+(U$4),AND($W$2=$DB$2,$B17&lt;=$DB$3,$B17&lt;=$DB$4,$B17&lt;=$DB$5),(U16*(1+$DH$1))+(U$4))</f>
        <v>0</v>
      </c>
      <c r="V17" s="326" cm="1">
        <f t="array" ref="V17">_xlfn.IFS(AND($A17&gt;$DA$6,$B17&gt;$DB$6),0,AND($W$2=$DA$2,$A17&gt;$DA$4),IF($Y16=0,0,(V16-((V16/$Y16)*$BY16))*(1+$DH$2)),AND($W$2=$DB$2,$B17&gt;$DB$4),IF($Y16=0,0,(V16-((V16/$Y16)*$BY16))*(1+$DH$2)),AND($W$2=$DA$2,OR($A17&gt;$DA$3,$A17&gt;$DA$6)),(V16*(1+$DH$1)),AND($W$2=$DB$2,OR($B17&gt;$DB$3,$B17&gt;$DB$6)),(V16*(1+$DH$1)),AND($W$2=$DA$2,$A17&lt;=$DA$3,$A17&lt;=$DA$4,$A17&lt;=$DA$5),(V16*(1+$DH$1))+(V$4),AND($W$2=$DB$2,$B17&lt;=$DB$3,$B17&lt;=$DB$4,$B17&lt;=$DB$5),(V16*(1+$DH$1))+(V$4))</f>
        <v>0</v>
      </c>
      <c r="W17" s="326" cm="1">
        <f t="array" ref="W17">_xlfn.IFS(AND($A17&gt;$DA$6,$B17&gt;$DB$6),0,AND($W$2=$DA$2,$A17&gt;$DA$4),IF($Y16=0,0,(W16-((W16/$Y16)*$BY16))*(1+$DH$2)),AND($W$2=$DB$2,$B17&gt;$DB$4),IF($Y16=0,0,(W16-((W16/$Y16)*$BY16))*(1+$DH$2)),AND($W$2=$DA$2,OR($A17&gt;$DA$3,$A17&gt;$DA$6)),(W16*(1+$DH$1)),AND($W$2=$DB$2,OR($B17&gt;$DB$3,$B17&gt;$DB$6)),(W16*(1+$DH$1)),AND($W$2=$DA$2,$A17&lt;=$DA$3,$A17&lt;=$DA$4,$A17&lt;=$DA$5),(W16*(1+$DH$1))+(W$4),AND($W$2=$DB$2,$B17&lt;=$DB$3,$B17&lt;=$DB$4,$B17&lt;=$DB$5),(W16*(1+$DH$1))+(W$4))</f>
        <v>0</v>
      </c>
      <c r="Y17" s="1">
        <f t="shared" si="18"/>
        <v>0</v>
      </c>
      <c r="Z17" s="2">
        <f t="shared" si="19"/>
        <v>0</v>
      </c>
      <c r="AA17" s="375"/>
      <c r="AC17" s="326" cm="1">
        <f t="array" ref="AC17">_xlfn.IFS(AND(A17&gt;DA$6,B17&gt;DB$6),0,AND(A17&gt;DA$4,B17&gt;DB$4),IF(AG16=0,0,(AC16-((AC16/AG16)*CA16))*(1+DH$2)),OR(A17&gt;DA$3,A17&gt;DA$6),AC16*(1+DH$1),A17&gt;DA$4,(AC16-CA16)*(1+DH$2),AND(A17&lt;=DA$3,A17&lt;=DA$4,A17&lt;=DA$6),(AC16*(1+DH$1))+(AC$4))</f>
        <v>0</v>
      </c>
      <c r="AD17" s="375"/>
      <c r="AE17" s="326" cm="1">
        <f t="array" ref="AE17">_xlfn.IFS(AND(A17&gt;DA$6,B17&gt;DB$6),0,AND(A17&gt;DA$4,B17&gt;DB$4),IF(AG16=0,0,(AE16-((AE16/AG16)*CA16))*(1+DH$2)),OR(B17&gt;DB$3,B17&gt;DB$6),AE16*(1+DH$1),B17&gt;DB$4,(AE16-CA16)*(1+DH$2),AND(B17&lt;=DB$3,B17&lt;=DB$4,B17&lt;=DB$6),(AE16*(1+DH$1))+(AE$4))</f>
        <v>0</v>
      </c>
      <c r="AF17" s="375"/>
      <c r="AG17" s="1">
        <f t="shared" si="5"/>
        <v>0</v>
      </c>
      <c r="AH17" s="2">
        <f t="shared" si="20"/>
        <v>0</v>
      </c>
      <c r="AI17" s="14">
        <f t="shared" si="6"/>
        <v>0</v>
      </c>
      <c r="AK17" s="1">
        <f t="shared" si="21"/>
        <v>0</v>
      </c>
      <c r="AL17" s="14">
        <f t="shared" si="22"/>
        <v>0</v>
      </c>
      <c r="AM17" s="14" t="str">
        <f t="shared" si="23"/>
        <v/>
      </c>
      <c r="AO17" s="15">
        <f t="shared" si="7"/>
        <v>0</v>
      </c>
      <c r="AP17" s="1">
        <f>IF(AND(B17&gt;=$DB$6,A17&gt;=$DA$6),0,AP16*(1+Lookups!C$12))</f>
        <v>0</v>
      </c>
      <c r="AQ17" s="1">
        <f>IF(AND(B17&gt;=$DB$6,A17&gt;=$DA$6),0,AQ16*(1+Lookups!C$12))</f>
        <v>0</v>
      </c>
      <c r="AS17" s="1" cm="1">
        <f t="array" ref="AS17">_xlfn.IFS(OR(AS$6="",AND(A17&gt;=DA$6,B17&gt;=DB$6),AND(A17&lt;DA$4,B17&lt;DB$4)),0,AND(A17=DA$4,DA$4&lt;=DB$4),AS$6,AND(B17=DB$4,DA$4&gt;=DB$4),AS$6,OR(A17&gt;DA$4,B17&gt;DB$4),AS16*(1+Setup!C$103))</f>
        <v>0</v>
      </c>
      <c r="AT17" s="1" cm="1">
        <f t="array" ref="AT17">_xlfn.IFS(OR(AT$6="",AND(A17&gt;=DA$6,B17&gt;=DB$6),AND(A17&lt;DA$4,B17&lt;DB$4)),0,AND(A17=DA$4,DA$4&lt;=DB$4),AT$6,AND(B17=DB$4,DA$4&gt;=DB$4),AT$6,OR(A17&gt;DA$4,B17&gt;DB$4),AT16*(1+Setup!C$103))</f>
        <v>0</v>
      </c>
      <c r="AU17" s="1" cm="1">
        <f t="array" ref="AU17">_xlfn.IFS(OR(AU$6="",AND(A17&gt;=DA$6,B17&gt;=DB$6),AND(A17&lt;DA$4,B17&lt;DB$4)),0,AND(A17=DA$4,DA$4&lt;=DB$4),AU$6,AND(B17=DB$4,DA$4&gt;=DB$4),AU$6,OR(A17&gt;DA$4,B17&gt;DB$4),AU16*(1+Setup!C$103))</f>
        <v>0</v>
      </c>
      <c r="AV17" s="1" cm="1">
        <f t="array" ref="AV17">_xlfn.IFS(OR(AV$6="",AND(A17&gt;=DA$6,B17&gt;=DB$6),AND(A17&lt;DA$4,B17&lt;DB$4)),0,AND(A17=DA$4,DA$4&lt;=DB$4),AV$6,AND(B17=DB$4,DA$4&gt;=DB$4),AV$6,OR(A17&gt;DA$4,B17&gt;DB$4),AV16*(1+Setup!C$103))</f>
        <v>0</v>
      </c>
      <c r="AW17" s="1">
        <f t="shared" si="8"/>
        <v>0</v>
      </c>
      <c r="AY17" s="1" cm="1">
        <f t="array" ref="AY17">_xlfn.IFS(OR(AND(A17&gt;=DA$6,B17&gt;=DB$6),A17&lt;DA$5),0,AND(A17=DA$5,YEAR(C17)&gt;=Lookups!D$89),VLOOKUP(A17,Lookups!B$94:F$102,3),AND(A17=DA$5,YEAR(C17)&lt;Lookups!D$89),VLOOKUP(A17,Lookups!B$94:F$102,2),AND(A17&gt;DA$5,YEAR(C17)=Lookups!D$89),(AY16*Lookups!D$90)*(1+Lookups!C$20),AND(A17&gt;DA$5,YEAR(C17)&lt;&gt;Lookups!D$89),AY16*(1+Lookups!C$20))</f>
        <v>0</v>
      </c>
      <c r="AZ17" s="1" cm="1">
        <f t="array" ref="AZ17">_xlfn.IFS(OR(ISBLANK(Setup!K$91),Setup!K$91=0,AND(A17&gt;=DA$6,B17&gt;=DB$6),B17&lt;DB$5),0,AND(B17=DB$5,YEAR(C17)&gt;=Lookups!D$89),VLOOKUP(B17,Lookups!B$94:F$102,5),AND(B17=DB$5,YEAR(C17)&lt;Lookups!D$89),VLOOKUP(B17,Lookups!B$94:F$102,4),AND(B17&gt;DB$5,YEAR(C17)=Lookups!D$89),(AZ16*Lookups!D$90)*(1+Lookups!C$20),AND(B17&gt;DB$5,YEAR(C17)&lt;&gt;Lookups!D$89),AZ16*(1+Lookups!C$20))</f>
        <v>0</v>
      </c>
      <c r="BA17" s="65">
        <f>IF(OR(AY17&gt;0,AZ17&gt;0),(AY17+AZ17)*Lookups!D$120,0)</f>
        <v>0</v>
      </c>
      <c r="BB17" s="1" cm="1">
        <f t="array" ref="BB17">_xlfn.IFS(AND(A17&lt;DA$4,B17&lt;DB$4),0,OR(_xlfn.XOR(A17&gt;DA$6,B17&gt;DB$6),_xlfn.XOR(A17&gt;=DA$4,B17&gt;=DB$4)),IF(AP17-SUM(AW17,AY17:AZ17)&gt;0,AP17-SUM(AW17,AY17:AZ17),0),AQ17-SUM(AW17,AY17:AZ17)&gt;0, AQ17-SUM(AW17,AY17:AZ17),AQ17-SUM(AW17,AY17:AZ17)&lt;=0,0)</f>
        <v>0</v>
      </c>
      <c r="BD17" s="1" cm="1">
        <f t="array" ref="BD17">_xlfn.IFS(AND(A17&gt;=DA$6,B17&gt;=DB$6),0,AND(A17&gt;=DA$6,B17&gt;=Lookups!C$35),D17/VLOOKUP(B17,Lookups!C$37:D$67,2),A17&lt;Lookups!$C$35,0,A17&gt;=Lookups!C$35,D17/VLOOKUP(A17,Lookups!C$37:D$67,2))</f>
        <v>0</v>
      </c>
      <c r="BE17" s="1" cm="1">
        <f t="array" ref="BE17">_xlfn.IFS(AND(A17&gt;=DA$6,B17&gt;=DB$6),0,AND(B17&gt;=DB$6,A17&gt;=Lookups!C$35),F17/VLOOKUP(A17,Lookups!C$37:D$67,2),B17&lt;Lookups!$C$35,0,B17&gt;=Lookups!C$35,F17/VLOOKUP(B17,Lookups!C$37:D$67,2))</f>
        <v>0</v>
      </c>
      <c r="BF17" s="1" cm="1">
        <f t="array" ref="BF17">_xlfn.IFS($BB17&lt;=0,0,AND(A17&gt;=DA$4,B17&gt;=DB$4,$BB17*I17&lt;(BD17+BE17)),0,AND(A17&gt;=DA$4,B17&gt;=DB$4,H17&gt;=(BB17*I17)-BD17-BE17),(BB17*I17)-BD17-BE17,AND(A17&gt;=DA$4,B17&gt;=DB$4,H17&lt;(BB17*I17)-BD17-BE17),H17,AND(A17&gt;=DA$4,$BB17*I17&lt;(BD17)),0,AND(A17&gt;=DA$4,H17&gt;=(BB17*I17)-BD17),(BB17*I17)-BD17,AND(A17&gt;=DA$4,H17&lt;(BB17*I17)-BD17),H17,AND(B17&gt;=DB$4,$BB17*I17&lt;(BE17)),0,AND(B17&gt;=DB$4,H17&gt;=(BB17*I17)-BE17),(BB17*I17)-BE17,AND(B17&gt;=DB$4,H17&lt;(BB17*I17)-BE17),H17)</f>
        <v>0</v>
      </c>
      <c r="BG17" s="1">
        <f t="shared" si="9"/>
        <v>0</v>
      </c>
      <c r="BH17" s="1" cm="1">
        <f t="array" ref="BH17">_xlfn.IFS(OR(D17=0,A17&lt;DA$4),0,AND(A17&gt;=DA$4,B17&gt;=DB$4,D17&lt;BD17+($BF17*(D17/$H17))+(-$BP17*(D17/$H17))),D17,AND(A17&gt;=DA$4,B17&gt;=DB$4,$BB17&gt;$BG17),BD17+($BF17*(D17/$H17))+(-$BP17*(D17/$H17)),AND(A17&gt;=DA$4,B17&gt;=DB$4,OR(A17&gt;DA$6, B17&gt;DB$6),$AP17-SUM($AW17,$AY17:$AZ17)&lt;0),BD17+($BF17*(D17/$H17))+(-$BP17*(D17/$H17))+(BP17*(D17/$H17)),AND(A17&gt;=DA$4,B17&gt;=DB$4,$AQ17-SUM($AW17,$AY17:$AZ17)&lt;0),BD17+($BF17*(D17/$H17))+(-$BP17*(D17/$H17))+(BP17*(D17/$H17)),AND(A17&gt;=DA$4,D17&lt;BD17+$BF17-$BP17),D17,AND(A17&gt;=DA$4,$AP17-SUM($AW17,$AY17:$AZ17)&lt;0),BD17+($BF17*(D17/$H17))+(-$BP17*(D17/$H17))+(BP17*(D17/$H17)),A17&gt;=DA$4,BD17+$BF17-$BP17)</f>
        <v>0</v>
      </c>
      <c r="BI17" s="1" cm="1">
        <f t="array" ref="BI17">_xlfn.IFS(OR(F17=0,B17&lt;DB$4),0,AND(A17&gt;=DA$4,B17&gt;=DB$4,F17&lt;BE17+($BF17*(F17/$H17))+(-$BP17*(F17/$H17))),F17,AND(A17&gt;=DA$4,B17&gt;=DB$4,$BB17&gt;$BG17),BE17+($BF17*(F17/$H17))+(-$BP17*(F17/$H17)),AND(A17&gt;=DA$4,B17&gt;=DB$4,OR(A17&gt;DA$6, B17&gt;DB$6),$AP17-SUM($AW17,$AY17:$AZ17)&lt;0),BE17+($BF17*(F17/$H17))+(-$BP17*(F17/$H17))+(BP17*(F17/$H17)),AND(A17&gt;=DA$4,B17&gt;=DB$4,$AQ17-SUM($AW17,$AY17:$AZ17)&lt;0),BE17+($BF17*(F17/$H17))+(-$BP17*(F17/$H17))+(BP17*(F17/$H17)),AND(B17&gt;=DB$4,F17&lt;BE17+$BF17-$BP17),F17,AND(B17&gt;=DB$4,$AP17-SUM($AW17,$AY17:$AZ17)&lt;0),BE17+($BF17*(F17/$H17))+(-$BP17*(F17/$H17))+(BP17*(F17/$H17)),B17&gt;=DB$4,BE17+$BF17-$BP17)</f>
        <v>0</v>
      </c>
      <c r="BJ17" s="64" cm="1">
        <f t="array" ref="BJ17">IF(AW17+BA17+BG17&gt;0, AW17+BA17+BG17-_xlfn.IFS(AND(A17&gt;=65,B17&gt;=65),VLOOKUP(Setup!I$4,Lookups!C$133:F$136,4),OR(A17&gt;=65,B17&gt;=65),VLOOKUP(Setup!I$4,Lookups!C$133:E$136,3),AND(A17&lt;65,B17&lt;65),VLOOKUP(Setup!I$4,Lookups!C$133:D$136,2)),0)</f>
        <v>0</v>
      </c>
      <c r="BK17" s="1" cm="1">
        <f t="array" ref="BK17">IF(BJ17&gt;0,_xlfn.IFS(Setup!I$4=Lookups!D$109,-_xlfn.IFS($BJ17&gt;=Lookups!D$157, Lookups!F$157+($BJ17-Lookups!D$157)*Lookups!G$157,$BJ17&gt;=Lookups!D$156, Lookups!F$156+($BJ17-Lookups!D$156)*Lookups!G$156,$BJ17&gt;=Lookups!D$155, Lookups!F$155+($BJ17-Lookups!D$155)*Lookups!G$155,$BJ17&gt;=Lookups!D$154, Lookups!F$154+($BJ17-Lookups!D$154)*Lookups!G$154,$BJ17&gt;=Lookups!D$153, Lookups!F$153+($BJ17-Lookups!D$153)*Lookups!G$153,$BJ17&gt;=Lookups!D$152, Lookups!F$152+($BJ17-Lookups!D$152)*Lookups!G$152,$BJ17&lt;Lookups!D$152,$BJ17*Lookups!G$151),Setup!I$4=Lookups!D$110,-_xlfn.IFS($BJ17&gt;=Lookups!D$167, Lookups!F$167+($BJ17-Lookups!D$167)*Lookups!G$167,$BJ17&gt;=Lookups!D$166, Lookups!F$166+($BJ17-Lookups!D$166)*Lookups!G$166,$BJ17&gt;=Lookups!D$165, Lookups!F$165+($BJ17-Lookups!D$165)*Lookups!G$165,$BJ17&gt;=Lookups!D$164, Lookups!F$164+($BJ17-Lookups!D$164)*Lookups!G$164,$BJ17&gt;=Lookups!D$163, Lookups!F$163+($BJ17-Lookups!D$163)*Lookups!G$163,$BJ17&gt;=Lookups!D$162, Lookups!F$162+($BJ17-Lookups!D$162)*Lookups!G$162,$BJ17&lt;Lookups!D$162,$BJ17*Lookups!G$161),Setup!I$4=Lookups!D$111,-_xlfn.IFS($BJ17&gt;=Lookups!D$177, Lookups!F$177+($BJ17-Lookups!D$177)*Lookups!G$177,$BJ17&gt;=Lookups!D$176, Lookups!F$176+($BJ17-Lookups!D$176)*Lookups!G$176,$BJ17&gt;=Lookups!D$175, Lookups!F$175+($BJ17-Lookups!D$175)*Lookups!G$175,$BJ17&gt;=Lookups!D$174, Lookups!F$174+($BJ17-Lookups!D$174)*Lookups!G$174,$BJ17&gt;=Lookups!D$173, Lookups!F$173+($BJ17-Lookups!D$173)*Lookups!G$173,$BJ17&gt;=Lookups!D$172, Lookups!F$172+($BJ17-Lookups!D$172)*Lookups!G$172,$BJ17&lt;Lookups!D$172,$BJ17*Lookups!G$171), Setup!I$4=Lookups!D$112,-_xlfn.IFS($BJ17&gt;=Lookups!D$187, Lookups!F$187+($BJ17-Lookups!D$187)*Lookups!G$187,$BJ17&gt;=Lookups!D$186, Lookups!F$186+($BJ17-Lookups!D$186)*Lookups!G$186,$BJ17&gt;=Lookups!D$185, Lookups!F$185+($BJ17-Lookups!D$185)*Lookups!G$185,$BJ17&gt;=Lookups!D$184, Lookups!F$184+($BJ17-Lookups!D$184)*Lookups!G$184,$BJ17&gt;=Lookups!D$183, Lookups!F$183+($BJ17-Lookups!D$183)*Lookups!G$183,$BJ17&gt;=Lookups!D$182, Lookups!F$182+($BJ17-Lookups!D$182)*Lookups!G$182,$BJ17&lt;Lookups!D$182,$BJ17*Lookups!G$181)),0)</f>
        <v>0</v>
      </c>
      <c r="BL17" s="18">
        <f t="shared" si="10"/>
        <v>0</v>
      </c>
      <c r="BM17" s="134">
        <f t="shared" si="24"/>
        <v>0</v>
      </c>
      <c r="BN17" s="134" cm="1">
        <f t="array" aca="1" ref="BN17" ca="1">INDIRECT(Setup!I$6&amp;"!"&amp;"A"&amp;ROW())</f>
        <v>0</v>
      </c>
      <c r="BO17" s="134">
        <f t="shared" si="25"/>
        <v>0</v>
      </c>
      <c r="BP17" s="1">
        <f t="shared" si="11"/>
        <v>0</v>
      </c>
      <c r="BQ17" s="1">
        <f t="shared" si="26"/>
        <v>0</v>
      </c>
      <c r="BS17" s="1">
        <f t="shared" si="27"/>
        <v>0</v>
      </c>
      <c r="BT17" s="1" cm="1">
        <f t="array" ref="BT17">-IF(BS17&gt;0,_xlfn.IFS((AW17+BA17+BG17+BS17)&gt;=VLOOKUP(Setup!I$4,Lookups!C$210:E$213,3),BS17*Lookups!D$203,(AW17+BA17+BG17+BS17)&gt;=VLOOKUP(Setup!I$4,Lookups!C$210:E$213,2),BS17*Lookups!D$197,(AW17+BA17+BG17+BS17)&lt;VLOOKUP(Setup!I$4,Lookups!C$210:E$213,2),0),0)</f>
        <v>0</v>
      </c>
      <c r="BU17" s="18">
        <f t="shared" si="28"/>
        <v>0</v>
      </c>
      <c r="BV17" s="1">
        <f t="shared" si="29"/>
        <v>0</v>
      </c>
      <c r="BW17" s="1" cm="1">
        <f t="array" aca="1" ref="BW17" ca="1">INDIRECT(Setup!I$6&amp;"!"&amp;"A"&amp;ROW()+100)</f>
        <v>0</v>
      </c>
      <c r="BX17" s="1">
        <f t="shared" ca="1" si="15"/>
        <v>0</v>
      </c>
      <c r="BY17" s="1">
        <f t="shared" ca="1" si="16"/>
        <v>0</v>
      </c>
      <c r="CA17" s="1">
        <f t="shared" si="34"/>
        <v>0</v>
      </c>
      <c r="CC17" s="1" cm="1">
        <f t="array" ref="CC17">_xlfn.IFS(AND(A17&lt;$DA$4,B17&lt;$DB$4),0,AND(AND(A17&gt;=$DA$4,B17&gt;=$DB$4),AND(A17&lt;=$DA$6,B17&lt;=$DB$6),AND(BH17=0,BI17=0)),SUM(AW17,AY17:AZ17,BD17:BF17,BP17,BS17,CA17)-AQ17,AND(AND(A17&gt;=$DA$4,B17&gt;=$DB$4),AND(A17&lt;=$DA$6,B17&lt;=$DB$6)),SUM(AW17,AY17:AZ17,BD17:BF17,BS17,CA17)-AQ17,AND(OR(A17&gt;=$DA$4,B17&gt;=$DB$4),AND(BH17=0,BI17=0)),SUM(AW17,AY17:AZ17,BD17:BF17,BP17,BS17,CA17)-AP17,OR(A17&gt;=$DA$4,B17&gt;=$DB$4),SUM(AW17,AY17:AZ17,BD17:BF17,BS17,CA17)-AP17)</f>
        <v>0</v>
      </c>
      <c r="CD17" s="142" t="str">
        <f t="shared" si="30"/>
        <v/>
      </c>
    </row>
    <row r="18" spans="1:83" x14ac:dyDescent="0.3">
      <c r="A18" s="354">
        <f t="shared" si="31"/>
        <v>11</v>
      </c>
      <c r="B18" s="354">
        <f t="shared" si="32"/>
        <v>11</v>
      </c>
      <c r="C18" s="359">
        <f t="shared" si="33"/>
        <v>4019</v>
      </c>
      <c r="D18" s="326" cm="1">
        <f t="array" ref="D18">_xlfn.IFS(AND(A18&gt;DA$6,B18&gt;DB$6),0,AND(A18&gt;DA$3,A18&lt;=DA$4),D17*(1+DH$1),OR(A18&gt;DA$6,A18&gt;DA$4),(D17-BH17)*(1+DH$2),A18&lt;=DA$4,(D17*(1+DH$1))+(D$4))</f>
        <v>0</v>
      </c>
      <c r="E18" s="375"/>
      <c r="F18" s="326" cm="1">
        <f t="array" ref="F18">_xlfn.IFS(AND(A18&gt;DA$6,B18&gt;DB$6),0,AND(B18&gt;DB$3,B18&lt;=DB$4),F17*(1+DH$1),OR(B18&gt;DB$6,B18&gt;DB$4),(F17-BI17)*(1+DH$2),B18&lt;=DB$4,(F17*(1+DH$1))+(F$4))</f>
        <v>0</v>
      </c>
      <c r="G18" s="375"/>
      <c r="H18" s="1">
        <f t="shared" si="17"/>
        <v>0</v>
      </c>
      <c r="I18" s="2">
        <f t="shared" si="2"/>
        <v>0</v>
      </c>
      <c r="J18" s="14">
        <f t="shared" si="35"/>
        <v>0</v>
      </c>
      <c r="L18" s="402" cm="1">
        <f t="array" ref="L18">_xlfn.IFS(AND(A18&gt;DA$6,B18&gt;DB$6),0,A18&lt;DA$6,0,A18=DA$6,L$4,AND(A18&gt;DA$6,B18&lt;=DB$4),L17*(1+DH$1),AND(A18&gt;DA$6,B18&gt;DB$4),IF(Y17=0,0,(L17-((L17/Y17)*BY17))*(1+DH$2)))</f>
        <v>0</v>
      </c>
      <c r="M18" s="402" cm="1">
        <f t="array" ref="M18">_xlfn.IFS(AND(A18&gt;DA$6,B18&gt;DB$6),0,B18&lt;DB$6,0,B18=DB$6,M$4,AND(B18&gt;DB$6,A18&lt;=DA$4),M17*(1+DH$1),AND(A18&gt;DA$4,B18&gt;DB$6),IF(Y17=0,0,(M17-((M17/Y17)*BY17))*(1+DH$2)))</f>
        <v>0</v>
      </c>
      <c r="N18" s="327"/>
      <c r="O18" s="327" cm="1">
        <f t="array" ref="O18">_xlfn.IFS(OR(ISBLANK(Setup!C$63),Setup!C$63&gt;YEAR(C18),AND(A18&gt;DA$6,B18&gt;DB$6),ISBLANK(Y17)),0,Setup!C$63=YEAR(C18),Setup!C$62,AND(OR(A18&lt;=DA$4,B18&lt;=DB$4),Setup!C$63&lt;YEAR(C18)),O17*(1+DH$1),AND(A18&gt;DA$4,B18&gt;DB$4,Setup!C$63&lt;YEAR(C18)),IF(Y17=0,0,(O17-((O17/Y17)*BY17))*(1+DH$2)))</f>
        <v>0</v>
      </c>
      <c r="P18" s="327" cm="1">
        <f t="array" ref="P18">_xlfn.IFS(OR(ISBLANK(Setup!C$67),Setup!C$67&gt;YEAR(C18),AND(A18&gt;DA$6,B18&gt;DB$6)),0,Setup!C$67=YEAR(C18),Setup!C$66,AND(OR(A18&lt;=DA$4,B18&lt;=DB$4),Setup!C$67&lt;YEAR(C18)),P17*(1+DH$1),AND(A18&gt;DA$4,B18&gt;DB$4,Setup!C$67&lt;YEAR(C18)),IF(Y17=0,0,(P17-((P17/Y17)*BY17))*(1+DH$2)))</f>
        <v>0</v>
      </c>
      <c r="Q18" s="327" cm="1">
        <f t="array" ref="Q18">_xlfn.IFS(OR(ISBLANK(Setup!C$71),Setup!C$71&gt;YEAR(C18),AND(A18&gt;DA$6,B18&gt;DB$6)),0,Setup!C$71=YEAR(C18),Setup!C$70,AND(OR(A18&lt;=DA$4,B18&lt;=DB$4),Setup!C$71&lt;YEAR(C18)),Q17*(1+DH$1),AND(A18&gt;DA$4,B18&gt;DB$4,Setup!C$71&lt;YEAR(C18)),IF(Y17=0,0,(Q17-((Q17/Y17)*BY17))*(1+DH$2)))</f>
        <v>0</v>
      </c>
      <c r="R18" s="327" cm="1">
        <f t="array" ref="R18">_xlfn.IFS(OR(ISBLANK(Setup!C$75),Setup!C$75&gt;YEAR(C18),AND(A18&gt;DA$6,B18&gt;DB$6)),0,Setup!C$75=YEAR(C18),Setup!C$74,AND(OR(A18&lt;=DA$4,B18&lt;=DB$4),Setup!C$75&lt;YEAR(C18)),R17*(1+DH$1),AND(A18&gt;DA$4,B18&gt;DB$4,Setup!C$75&lt;YEAR(C18)),IF(Y17=0,0,(R17-((R17/Y17)*BY17))*(1+DH$2)))</f>
        <v>0</v>
      </c>
      <c r="S18" s="327"/>
      <c r="T18" s="326" cm="1">
        <f t="array" ref="T18">_xlfn.IFS(AND($A18&gt;$DA$6,$B18&gt;$DB$6),0,AND($W$2=$DA$2,$A18&gt;$DA$4),IF($Y17=0,0,(T17-((T17/$Y17)*$BY17))*(1+$DH$2)),AND($W$2=$DB$2,$B18&gt;$DB$4),IF($Y17=0,0,(T17-((T17/$Y17)*$BY17))*(1+$DH$2)),AND($W$2=$DA$2,OR($A18&gt;$DA$3,$A18&gt;$DA$6)),(T17*(1+$DH$1)),AND($W$2=$DB$2,OR($B18&gt;$DB$3,$B18&gt;$DB$6)),(T17*(1+$DH$1)),AND($W$2=$DA$2,$A18&lt;=$DA$3,$A18&lt;=$DA$4,$A18&lt;=$DA$5),(T17*(1+$DH$1))+(T$4),AND($W$2=$DB$2,$B18&lt;=$DB$3,$B18&lt;=$DB$4,$B18&lt;=$DB$5),(T17*(1+$DH$1))+(T$4))</f>
        <v>0</v>
      </c>
      <c r="U18" s="326" cm="1">
        <f t="array" ref="U18">_xlfn.IFS(AND($A18&gt;$DA$6,$B18&gt;$DB$6),0,AND($W$2=$DA$2,$A18&gt;$DA$4),IF($Y17=0,0,(U17-((U17/$Y17)*$BY17))*(1+$DH$2)),AND($W$2=$DB$2,$B18&gt;$DB$4),IF($Y17=0,0,(U17-((U17/$Y17)*$BY17))*(1+$DH$2)),AND($W$2=$DA$2,OR($A18&gt;$DA$3,$A18&gt;$DA$6)),(U17*(1+$DH$1)),AND($W$2=$DB$2,OR($B18&gt;$DB$3,$B18&gt;$DB$6)),(U17*(1+$DH$1)),AND($W$2=$DA$2,$A18&lt;=$DA$3,$A18&lt;=$DA$4,$A18&lt;=$DA$5),(U17*(1+$DH$1))+(U$4),AND($W$2=$DB$2,$B18&lt;=$DB$3,$B18&lt;=$DB$4,$B18&lt;=$DB$5),(U17*(1+$DH$1))+(U$4))</f>
        <v>0</v>
      </c>
      <c r="V18" s="326" cm="1">
        <f t="array" ref="V18">_xlfn.IFS(AND($A18&gt;$DA$6,$B18&gt;$DB$6),0,AND($W$2=$DA$2,$A18&gt;$DA$4),IF($Y17=0,0,(V17-((V17/$Y17)*$BY17))*(1+$DH$2)),AND($W$2=$DB$2,$B18&gt;$DB$4),IF($Y17=0,0,(V17-((V17/$Y17)*$BY17))*(1+$DH$2)),AND($W$2=$DA$2,OR($A18&gt;$DA$3,$A18&gt;$DA$6)),(V17*(1+$DH$1)),AND($W$2=$DB$2,OR($B18&gt;$DB$3,$B18&gt;$DB$6)),(V17*(1+$DH$1)),AND($W$2=$DA$2,$A18&lt;=$DA$3,$A18&lt;=$DA$4,$A18&lt;=$DA$5),(V17*(1+$DH$1))+(V$4),AND($W$2=$DB$2,$B18&lt;=$DB$3,$B18&lt;=$DB$4,$B18&lt;=$DB$5),(V17*(1+$DH$1))+(V$4))</f>
        <v>0</v>
      </c>
      <c r="W18" s="326" cm="1">
        <f t="array" ref="W18">_xlfn.IFS(AND($A18&gt;$DA$6,$B18&gt;$DB$6),0,AND($W$2=$DA$2,$A18&gt;$DA$4),IF($Y17=0,0,(W17-((W17/$Y17)*$BY17))*(1+$DH$2)),AND($W$2=$DB$2,$B18&gt;$DB$4),IF($Y17=0,0,(W17-((W17/$Y17)*$BY17))*(1+$DH$2)),AND($W$2=$DA$2,OR($A18&gt;$DA$3,$A18&gt;$DA$6)),(W17*(1+$DH$1)),AND($W$2=$DB$2,OR($B18&gt;$DB$3,$B18&gt;$DB$6)),(W17*(1+$DH$1)),AND($W$2=$DA$2,$A18&lt;=$DA$3,$A18&lt;=$DA$4,$A18&lt;=$DA$5),(W17*(1+$DH$1))+(W$4),AND($W$2=$DB$2,$B18&lt;=$DB$3,$B18&lt;=$DB$4,$B18&lt;=$DB$5),(W17*(1+$DH$1))+(W$4))</f>
        <v>0</v>
      </c>
      <c r="Y18" s="1">
        <f t="shared" si="18"/>
        <v>0</v>
      </c>
      <c r="Z18" s="2">
        <f t="shared" si="19"/>
        <v>0</v>
      </c>
      <c r="AA18" s="375"/>
      <c r="AC18" s="326" cm="1">
        <f t="array" ref="AC18">_xlfn.IFS(AND(A18&gt;DA$6,B18&gt;DB$6),0,AND(A18&gt;DA$4,B18&gt;DB$4),IF(AG17=0,0,(AC17-((AC17/AG17)*CA17))*(1+DH$2)),OR(A18&gt;DA$3,A18&gt;DA$6),AC17*(1+DH$1),A18&gt;DA$4,(AC17-CA17)*(1+DH$2),AND(A18&lt;=DA$3,A18&lt;=DA$4,A18&lt;=DA$6),(AC17*(1+DH$1))+(AC$4))</f>
        <v>0</v>
      </c>
      <c r="AD18" s="375"/>
      <c r="AE18" s="326" cm="1">
        <f t="array" ref="AE18">_xlfn.IFS(AND(A18&gt;DA$6,B18&gt;DB$6),0,AND(A18&gt;DA$4,B18&gt;DB$4),IF(AG17=0,0,(AE17-((AE17/AG17)*CA17))*(1+DH$2)),OR(B18&gt;DB$3,B18&gt;DB$6),AE17*(1+DH$1),B18&gt;DB$4,(AE17-CA17)*(1+DH$2),AND(B18&lt;=DB$3,B18&lt;=DB$4,B18&lt;=DB$6),(AE17*(1+DH$1))+(AE$4))</f>
        <v>0</v>
      </c>
      <c r="AF18" s="375"/>
      <c r="AG18" s="1">
        <f t="shared" si="5"/>
        <v>0</v>
      </c>
      <c r="AH18" s="2">
        <f t="shared" si="20"/>
        <v>0</v>
      </c>
      <c r="AI18" s="14">
        <f t="shared" si="6"/>
        <v>0</v>
      </c>
      <c r="AK18" s="1">
        <f t="shared" si="21"/>
        <v>0</v>
      </c>
      <c r="AL18" s="14">
        <f t="shared" si="22"/>
        <v>0</v>
      </c>
      <c r="AM18" s="14" t="str">
        <f t="shared" si="23"/>
        <v/>
      </c>
      <c r="AO18" s="15">
        <f t="shared" si="7"/>
        <v>0</v>
      </c>
      <c r="AP18" s="1">
        <f>IF(AND(B18&gt;=$DB$6,A18&gt;=$DA$6),0,AP17*(1+Lookups!C$12))</f>
        <v>0</v>
      </c>
      <c r="AQ18" s="1">
        <f>IF(AND(B18&gt;=$DB$6,A18&gt;=$DA$6),0,AQ17*(1+Lookups!C$12))</f>
        <v>0</v>
      </c>
      <c r="AS18" s="1" cm="1">
        <f t="array" ref="AS18">_xlfn.IFS(OR(AS$6="",AND(A18&gt;=DA$6,B18&gt;=DB$6),AND(A18&lt;DA$4,B18&lt;DB$4)),0,AND(A18=DA$4,DA$4&lt;=DB$4),AS$6,AND(B18=DB$4,DA$4&gt;=DB$4),AS$6,OR(A18&gt;DA$4,B18&gt;DB$4),AS17*(1+Setup!C$103))</f>
        <v>0</v>
      </c>
      <c r="AT18" s="1" cm="1">
        <f t="array" ref="AT18">_xlfn.IFS(OR(AT$6="",AND(A18&gt;=DA$6,B18&gt;=DB$6),AND(A18&lt;DA$4,B18&lt;DB$4)),0,AND(A18=DA$4,DA$4&lt;=DB$4),AT$6,AND(B18=DB$4,DA$4&gt;=DB$4),AT$6,OR(A18&gt;DA$4,B18&gt;DB$4),AT17*(1+Setup!C$103))</f>
        <v>0</v>
      </c>
      <c r="AU18" s="1" cm="1">
        <f t="array" ref="AU18">_xlfn.IFS(OR(AU$6="",AND(A18&gt;=DA$6,B18&gt;=DB$6),AND(A18&lt;DA$4,B18&lt;DB$4)),0,AND(A18=DA$4,DA$4&lt;=DB$4),AU$6,AND(B18=DB$4,DA$4&gt;=DB$4),AU$6,OR(A18&gt;DA$4,B18&gt;DB$4),AU17*(1+Setup!C$103))</f>
        <v>0</v>
      </c>
      <c r="AV18" s="1" cm="1">
        <f t="array" ref="AV18">_xlfn.IFS(OR(AV$6="",AND(A18&gt;=DA$6,B18&gt;=DB$6),AND(A18&lt;DA$4,B18&lt;DB$4)),0,AND(A18=DA$4,DA$4&lt;=DB$4),AV$6,AND(B18=DB$4,DA$4&gt;=DB$4),AV$6,OR(A18&gt;DA$4,B18&gt;DB$4),AV17*(1+Setup!C$103))</f>
        <v>0</v>
      </c>
      <c r="AW18" s="1">
        <f t="shared" si="8"/>
        <v>0</v>
      </c>
      <c r="AY18" s="1" cm="1">
        <f t="array" ref="AY18">_xlfn.IFS(OR(AND(A18&gt;=DA$6,B18&gt;=DB$6),A18&lt;DA$5),0,AND(A18=DA$5,YEAR(C18)&gt;=Lookups!D$89),VLOOKUP(A18,Lookups!B$94:F$102,3),AND(A18=DA$5,YEAR(C18)&lt;Lookups!D$89),VLOOKUP(A18,Lookups!B$94:F$102,2),AND(A18&gt;DA$5,YEAR(C18)=Lookups!D$89),(AY17*Lookups!D$90)*(1+Lookups!C$20),AND(A18&gt;DA$5,YEAR(C18)&lt;&gt;Lookups!D$89),AY17*(1+Lookups!C$20))</f>
        <v>0</v>
      </c>
      <c r="AZ18" s="1" cm="1">
        <f t="array" ref="AZ18">_xlfn.IFS(OR(ISBLANK(Setup!K$91),Setup!K$91=0,AND(A18&gt;=DA$6,B18&gt;=DB$6),B18&lt;DB$5),0,AND(B18=DB$5,YEAR(C18)&gt;=Lookups!D$89),VLOOKUP(B18,Lookups!B$94:F$102,5),AND(B18=DB$5,YEAR(C18)&lt;Lookups!D$89),VLOOKUP(B18,Lookups!B$94:F$102,4),AND(B18&gt;DB$5,YEAR(C18)=Lookups!D$89),(AZ17*Lookups!D$90)*(1+Lookups!C$20),AND(B18&gt;DB$5,YEAR(C18)&lt;&gt;Lookups!D$89),AZ17*(1+Lookups!C$20))</f>
        <v>0</v>
      </c>
      <c r="BA18" s="65">
        <f>IF(OR(AY18&gt;0,AZ18&gt;0),(AY18+AZ18)*Lookups!D$120,0)</f>
        <v>0</v>
      </c>
      <c r="BB18" s="1" cm="1">
        <f t="array" ref="BB18">_xlfn.IFS(AND(A18&lt;DA$4,B18&lt;DB$4),0,OR(_xlfn.XOR(A18&gt;DA$6,B18&gt;DB$6),_xlfn.XOR(A18&gt;=DA$4,B18&gt;=DB$4)),IF(AP18-SUM(AW18,AY18:AZ18)&gt;0,AP18-SUM(AW18,AY18:AZ18),0),AQ18-SUM(AW18,AY18:AZ18)&gt;0, AQ18-SUM(AW18,AY18:AZ18),AQ18-SUM(AW18,AY18:AZ18)&lt;=0,0)</f>
        <v>0</v>
      </c>
      <c r="BD18" s="1" cm="1">
        <f t="array" ref="BD18">_xlfn.IFS(AND(A18&gt;=DA$6,B18&gt;=DB$6),0,AND(A18&gt;=DA$6,B18&gt;=Lookups!C$35),D18/VLOOKUP(B18,Lookups!C$37:D$67,2),A18&lt;Lookups!$C$35,0,A18&gt;=Lookups!C$35,D18/VLOOKUP(A18,Lookups!C$37:D$67,2))</f>
        <v>0</v>
      </c>
      <c r="BE18" s="1" cm="1">
        <f t="array" ref="BE18">_xlfn.IFS(AND(A18&gt;=DA$6,B18&gt;=DB$6),0,AND(B18&gt;=DB$6,A18&gt;=Lookups!C$35),F18/VLOOKUP(A18,Lookups!C$37:D$67,2),B18&lt;Lookups!$C$35,0,B18&gt;=Lookups!C$35,F18/VLOOKUP(B18,Lookups!C$37:D$67,2))</f>
        <v>0</v>
      </c>
      <c r="BF18" s="1" cm="1">
        <f t="array" ref="BF18">_xlfn.IFS($BB18&lt;=0,0,AND(A18&gt;=DA$4,B18&gt;=DB$4,$BB18*I18&lt;(BD18+BE18)),0,AND(A18&gt;=DA$4,B18&gt;=DB$4,H18&gt;=(BB18*I18)-BD18-BE18),(BB18*I18)-BD18-BE18,AND(A18&gt;=DA$4,B18&gt;=DB$4,H18&lt;(BB18*I18)-BD18-BE18),H18,AND(A18&gt;=DA$4,$BB18*I18&lt;(BD18)),0,AND(A18&gt;=DA$4,H18&gt;=(BB18*I18)-BD18),(BB18*I18)-BD18,AND(A18&gt;=DA$4,H18&lt;(BB18*I18)-BD18),H18,AND(B18&gt;=DB$4,$BB18*I18&lt;(BE18)),0,AND(B18&gt;=DB$4,H18&gt;=(BB18*I18)-BE18),(BB18*I18)-BE18,AND(B18&gt;=DB$4,H18&lt;(BB18*I18)-BE18),H18)</f>
        <v>0</v>
      </c>
      <c r="BG18" s="1">
        <f t="shared" si="9"/>
        <v>0</v>
      </c>
      <c r="BH18" s="1" cm="1">
        <f t="array" ref="BH18">_xlfn.IFS(OR(D18=0,A18&lt;DA$4),0,AND(A18&gt;=DA$4,B18&gt;=DB$4,D18&lt;BD18+($BF18*(D18/$H18))+(-$BP18*(D18/$H18))),D18,AND(A18&gt;=DA$4,B18&gt;=DB$4,$BB18&gt;$BG18),BD18+($BF18*(D18/$H18))+(-$BP18*(D18/$H18)),AND(A18&gt;=DA$4,B18&gt;=DB$4,OR(A18&gt;DA$6, B18&gt;DB$6),$AP18-SUM($AW18,$AY18:$AZ18)&lt;0),BD18+($BF18*(D18/$H18))+(-$BP18*(D18/$H18))+(BP18*(D18/$H18)),AND(A18&gt;=DA$4,B18&gt;=DB$4,$AQ18-SUM($AW18,$AY18:$AZ18)&lt;0),BD18+($BF18*(D18/$H18))+(-$BP18*(D18/$H18))+(BP18*(D18/$H18)),AND(A18&gt;=DA$4,D18&lt;BD18+$BF18-$BP18),D18,AND(A18&gt;=DA$4,$AP18-SUM($AW18,$AY18:$AZ18)&lt;0),BD18+($BF18*(D18/$H18))+(-$BP18*(D18/$H18))+(BP18*(D18/$H18)),A18&gt;=DA$4,BD18+$BF18-$BP18)</f>
        <v>0</v>
      </c>
      <c r="BI18" s="1" cm="1">
        <f t="array" ref="BI18">_xlfn.IFS(OR(F18=0,B18&lt;DB$4),0,AND(A18&gt;=DA$4,B18&gt;=DB$4,F18&lt;BE18+($BF18*(F18/$H18))+(-$BP18*(F18/$H18))),F18,AND(A18&gt;=DA$4,B18&gt;=DB$4,$BB18&gt;$BG18),BE18+($BF18*(F18/$H18))+(-$BP18*(F18/$H18)),AND(A18&gt;=DA$4,B18&gt;=DB$4,OR(A18&gt;DA$6, B18&gt;DB$6),$AP18-SUM($AW18,$AY18:$AZ18)&lt;0),BE18+($BF18*(F18/$H18))+(-$BP18*(F18/$H18))+(BP18*(F18/$H18)),AND(A18&gt;=DA$4,B18&gt;=DB$4,$AQ18-SUM($AW18,$AY18:$AZ18)&lt;0),BE18+($BF18*(F18/$H18))+(-$BP18*(F18/$H18))+(BP18*(F18/$H18)),AND(B18&gt;=DB$4,F18&lt;BE18+$BF18-$BP18),F18,AND(B18&gt;=DB$4,$AP18-SUM($AW18,$AY18:$AZ18)&lt;0),BE18+($BF18*(F18/$H18))+(-$BP18*(F18/$H18))+(BP18*(F18/$H18)),B18&gt;=DB$4,BE18+$BF18-$BP18)</f>
        <v>0</v>
      </c>
      <c r="BJ18" s="64" cm="1">
        <f t="array" ref="BJ18">IF(AW18+BA18+BG18&gt;0, AW18+BA18+BG18-_xlfn.IFS(AND(A18&gt;=65,B18&gt;=65),VLOOKUP(Setup!I$4,Lookups!C$133:F$136,4),OR(A18&gt;=65,B18&gt;=65),VLOOKUP(Setup!I$4,Lookups!C$133:E$136,3),AND(A18&lt;65,B18&lt;65),VLOOKUP(Setup!I$4,Lookups!C$133:D$136,2)),0)</f>
        <v>0</v>
      </c>
      <c r="BK18" s="1" cm="1">
        <f t="array" ref="BK18">IF(BJ18&gt;0,_xlfn.IFS(Setup!I$4=Lookups!D$109,-_xlfn.IFS($BJ18&gt;=Lookups!D$157, Lookups!F$157+($BJ18-Lookups!D$157)*Lookups!G$157,$BJ18&gt;=Lookups!D$156, Lookups!F$156+($BJ18-Lookups!D$156)*Lookups!G$156,$BJ18&gt;=Lookups!D$155, Lookups!F$155+($BJ18-Lookups!D$155)*Lookups!G$155,$BJ18&gt;=Lookups!D$154, Lookups!F$154+($BJ18-Lookups!D$154)*Lookups!G$154,$BJ18&gt;=Lookups!D$153, Lookups!F$153+($BJ18-Lookups!D$153)*Lookups!G$153,$BJ18&gt;=Lookups!D$152, Lookups!F$152+($BJ18-Lookups!D$152)*Lookups!G$152,$BJ18&lt;Lookups!D$152,$BJ18*Lookups!G$151),Setup!I$4=Lookups!D$110,-_xlfn.IFS($BJ18&gt;=Lookups!D$167, Lookups!F$167+($BJ18-Lookups!D$167)*Lookups!G$167,$BJ18&gt;=Lookups!D$166, Lookups!F$166+($BJ18-Lookups!D$166)*Lookups!G$166,$BJ18&gt;=Lookups!D$165, Lookups!F$165+($BJ18-Lookups!D$165)*Lookups!G$165,$BJ18&gt;=Lookups!D$164, Lookups!F$164+($BJ18-Lookups!D$164)*Lookups!G$164,$BJ18&gt;=Lookups!D$163, Lookups!F$163+($BJ18-Lookups!D$163)*Lookups!G$163,$BJ18&gt;=Lookups!D$162, Lookups!F$162+($BJ18-Lookups!D$162)*Lookups!G$162,$BJ18&lt;Lookups!D$162,$BJ18*Lookups!G$161),Setup!I$4=Lookups!D$111,-_xlfn.IFS($BJ18&gt;=Lookups!D$177, Lookups!F$177+($BJ18-Lookups!D$177)*Lookups!G$177,$BJ18&gt;=Lookups!D$176, Lookups!F$176+($BJ18-Lookups!D$176)*Lookups!G$176,$BJ18&gt;=Lookups!D$175, Lookups!F$175+($BJ18-Lookups!D$175)*Lookups!G$175,$BJ18&gt;=Lookups!D$174, Lookups!F$174+($BJ18-Lookups!D$174)*Lookups!G$174,$BJ18&gt;=Lookups!D$173, Lookups!F$173+($BJ18-Lookups!D$173)*Lookups!G$173,$BJ18&gt;=Lookups!D$172, Lookups!F$172+($BJ18-Lookups!D$172)*Lookups!G$172,$BJ18&lt;Lookups!D$172,$BJ18*Lookups!G$171), Setup!I$4=Lookups!D$112,-_xlfn.IFS($BJ18&gt;=Lookups!D$187, Lookups!F$187+($BJ18-Lookups!D$187)*Lookups!G$187,$BJ18&gt;=Lookups!D$186, Lookups!F$186+($BJ18-Lookups!D$186)*Lookups!G$186,$BJ18&gt;=Lookups!D$185, Lookups!F$185+($BJ18-Lookups!D$185)*Lookups!G$185,$BJ18&gt;=Lookups!D$184, Lookups!F$184+($BJ18-Lookups!D$184)*Lookups!G$184,$BJ18&gt;=Lookups!D$183, Lookups!F$183+($BJ18-Lookups!D$183)*Lookups!G$183,$BJ18&gt;=Lookups!D$182, Lookups!F$182+($BJ18-Lookups!D$182)*Lookups!G$182,$BJ18&lt;Lookups!D$182,$BJ18*Lookups!G$181)),0)</f>
        <v>0</v>
      </c>
      <c r="BL18" s="18">
        <f t="shared" si="10"/>
        <v>0</v>
      </c>
      <c r="BM18" s="134">
        <f t="shared" si="24"/>
        <v>0</v>
      </c>
      <c r="BN18" s="134" cm="1">
        <f t="array" aca="1" ref="BN18" ca="1">INDIRECT(Setup!I$6&amp;"!"&amp;"A"&amp;ROW())</f>
        <v>0</v>
      </c>
      <c r="BO18" s="134">
        <f t="shared" si="25"/>
        <v>0</v>
      </c>
      <c r="BP18" s="1">
        <f t="shared" si="11"/>
        <v>0</v>
      </c>
      <c r="BQ18" s="1">
        <f t="shared" si="26"/>
        <v>0</v>
      </c>
      <c r="BS18" s="1">
        <f>IF(Y18=0,0,IF(BQ18&gt;0,IF(Y18&gt;=BQ18*(Y18/(AG18+Y18)),BQ18*(Y18/(AG18+Y18)),Y18),0))</f>
        <v>0</v>
      </c>
      <c r="BT18" s="1" cm="1">
        <f t="array" ref="BT18">-IF(BS18&gt;0,_xlfn.IFS((AW18+BA18+BG18+BS18)&gt;=VLOOKUP(Setup!I$4,Lookups!C$210:E$213,3),BS18*Lookups!D$203,(AW18+BA18+BG18+BS18)&gt;=VLOOKUP(Setup!I$4,Lookups!C$210:E$213,2),BS18*Lookups!D$197,(AW18+BA18+BG18+BS18)&lt;VLOOKUP(Setup!I$4,Lookups!C$210:E$213,2),0),0)</f>
        <v>0</v>
      </c>
      <c r="BU18" s="18">
        <f t="shared" si="28"/>
        <v>0</v>
      </c>
      <c r="BV18" s="1">
        <f t="shared" si="29"/>
        <v>0</v>
      </c>
      <c r="BW18" s="1" cm="1">
        <f t="array" aca="1" ref="BW18" ca="1">INDIRECT(Setup!I$6&amp;"!"&amp;"A"&amp;ROW()+100)</f>
        <v>0</v>
      </c>
      <c r="BX18" s="1">
        <f t="shared" ca="1" si="15"/>
        <v>0</v>
      </c>
      <c r="BY18" s="1">
        <f t="shared" ca="1" si="16"/>
        <v>0</v>
      </c>
      <c r="CA18" s="1">
        <f t="shared" si="34"/>
        <v>0</v>
      </c>
      <c r="CC18" s="1" cm="1">
        <f t="array" ref="CC18">_xlfn.IFS(AND(A18&lt;$DA$4,B18&lt;$DB$4),0,AND(AND(A18&gt;=$DA$4,B18&gt;=$DB$4),AND(A18&lt;=$DA$6,B18&lt;=$DB$6),AND(BH18=0,BI18=0)),SUM(AW18,AY18:AZ18,BD18:BF18,BP18,BS18,CA18)-AQ18,AND(AND(A18&gt;=$DA$4,B18&gt;=$DB$4),AND(A18&lt;=$DA$6,B18&lt;=$DB$6)),SUM(AW18,AY18:AZ18,BD18:BF18,BS18,CA18)-AQ18,AND(OR(A18&gt;=$DA$4,B18&gt;=$DB$4),AND(BH18=0,BI18=0)),SUM(AW18,AY18:AZ18,BD18:BF18,BP18,BS18,CA18)-AP18,OR(A18&gt;=$DA$4,B18&gt;=$DB$4),SUM(AW18,AY18:AZ18,BD18:BF18,BS18,CA18)-AP18)</f>
        <v>0</v>
      </c>
      <c r="CD18" s="142" t="str">
        <f t="shared" si="30"/>
        <v/>
      </c>
    </row>
    <row r="19" spans="1:83" x14ac:dyDescent="0.3">
      <c r="A19" s="354">
        <f t="shared" si="31"/>
        <v>12</v>
      </c>
      <c r="B19" s="354">
        <f t="shared" si="32"/>
        <v>12</v>
      </c>
      <c r="C19" s="359">
        <f t="shared" si="33"/>
        <v>4384</v>
      </c>
      <c r="D19" s="326" cm="1">
        <f t="array" ref="D19">_xlfn.IFS(AND(A19&gt;DA$6,B19&gt;DB$6),0,AND(A19&gt;DA$3,A19&lt;=DA$4),D18*(1+DH$1),OR(A19&gt;DA$6,A19&gt;DA$4),(D18-BH18)*(1+DH$2),A19&lt;=DA$4,(D18*(1+DH$1))+(D$4))</f>
        <v>0</v>
      </c>
      <c r="E19" s="375"/>
      <c r="F19" s="326" cm="1">
        <f t="array" ref="F19">_xlfn.IFS(AND(A19&gt;DA$6,B19&gt;DB$6),0,AND(B19&gt;DB$3,B19&lt;=DB$4),F18*(1+DH$1),OR(B19&gt;DB$6,B19&gt;DB$4),(F18-BI18)*(1+DH$2),B19&lt;=DB$4,(F18*(1+DH$1))+(F$4))</f>
        <v>0</v>
      </c>
      <c r="G19" s="375"/>
      <c r="H19" s="1">
        <f t="shared" si="17"/>
        <v>0</v>
      </c>
      <c r="I19" s="2">
        <f t="shared" si="2"/>
        <v>0</v>
      </c>
      <c r="J19" s="14">
        <f t="shared" si="35"/>
        <v>0</v>
      </c>
      <c r="L19" s="402" cm="1">
        <f t="array" ref="L19">_xlfn.IFS(AND(A19&gt;DA$6,B19&gt;DB$6),0,A19&lt;DA$6,0,A19=DA$6,L$4,AND(A19&gt;DA$6,B19&lt;=DB$4),L18*(1+DH$1),AND(A19&gt;DA$6,B19&gt;DB$4),IF(Y18=0,0,(L18-((L18/Y18)*BY18))*(1+DH$2)))</f>
        <v>0</v>
      </c>
      <c r="M19" s="402" cm="1">
        <f t="array" ref="M19">_xlfn.IFS(AND(A19&gt;DA$6,B19&gt;DB$6),0,B19&lt;DB$6,0,B19=DB$6,M$4,AND(B19&gt;DB$6,A19&lt;=DA$4),M18*(1+DH$1),AND(A19&gt;DA$4,B19&gt;DB$6),IF(Y18=0,0,(M18-((M18/Y18)*BY18))*(1+DH$2)))</f>
        <v>0</v>
      </c>
      <c r="N19" s="327"/>
      <c r="O19" s="327" cm="1">
        <f t="array" ref="O19">_xlfn.IFS(OR(ISBLANK(Setup!C$63),Setup!C$63&gt;YEAR(C19),AND(A19&gt;DA$6,B19&gt;DB$6),ISBLANK(Y18)),0,Setup!C$63=YEAR(C19),Setup!C$62,AND(OR(A19&lt;=DA$4,B19&lt;=DB$4),Setup!C$63&lt;YEAR(C19)),O18*(1+DH$1),AND(A19&gt;DA$4,B19&gt;DB$4,Setup!C$63&lt;YEAR(C19)),IF(Y18=0,0,(O18-((O18/Y18)*BY18))*(1+DH$2)))</f>
        <v>0</v>
      </c>
      <c r="P19" s="327" cm="1">
        <f t="array" ref="P19">_xlfn.IFS(OR(ISBLANK(Setup!C$67),Setup!C$67&gt;YEAR(C19),AND(A19&gt;DA$6,B19&gt;DB$6)),0,Setup!C$67=YEAR(C19),Setup!C$66,AND(OR(A19&lt;=DA$4,B19&lt;=DB$4),Setup!C$67&lt;YEAR(C19)),P18*(1+DH$1),AND(A19&gt;DA$4,B19&gt;DB$4,Setup!C$67&lt;YEAR(C19)),IF(Y18=0,0,(P18-((P18/Y18)*BY18))*(1+DH$2)))</f>
        <v>0</v>
      </c>
      <c r="Q19" s="327" cm="1">
        <f t="array" ref="Q19">_xlfn.IFS(OR(ISBLANK(Setup!C$71),Setup!C$71&gt;YEAR(C19),AND(A19&gt;DA$6,B19&gt;DB$6)),0,Setup!C$71=YEAR(C19),Setup!C$70,AND(OR(A19&lt;=DA$4,B19&lt;=DB$4),Setup!C$71&lt;YEAR(C19)),Q18*(1+DH$1),AND(A19&gt;DA$4,B19&gt;DB$4,Setup!C$71&lt;YEAR(C19)),IF(Y18=0,0,(Q18-((Q18/Y18)*BY18))*(1+DH$2)))</f>
        <v>0</v>
      </c>
      <c r="R19" s="327" cm="1">
        <f t="array" ref="R19">_xlfn.IFS(OR(ISBLANK(Setup!C$75),Setup!C$75&gt;YEAR(C19),AND(A19&gt;DA$6,B19&gt;DB$6)),0,Setup!C$75=YEAR(C19),Setup!C$74,AND(OR(A19&lt;=DA$4,B19&lt;=DB$4),Setup!C$75&lt;YEAR(C19)),R18*(1+DH$1),AND(A19&gt;DA$4,B19&gt;DB$4,Setup!C$75&lt;YEAR(C19)),IF(Y18=0,0,(R18-((R18/Y18)*BY18))*(1+DH$2)))</f>
        <v>0</v>
      </c>
      <c r="S19" s="327"/>
      <c r="T19" s="326" cm="1">
        <f t="array" ref="T19">_xlfn.IFS(AND($A19&gt;$DA$6,$B19&gt;$DB$6),0,AND($W$2=$DA$2,$A19&gt;$DA$4),IF($Y18=0,0,(T18-((T18/$Y18)*$BY18))*(1+$DH$2)),AND($W$2=$DB$2,$B19&gt;$DB$4),IF($Y18=0,0,(T18-((T18/$Y18)*$BY18))*(1+$DH$2)),AND($W$2=$DA$2,OR($A19&gt;$DA$3,$A19&gt;$DA$6)),(T18*(1+$DH$1)),AND($W$2=$DB$2,OR($B19&gt;$DB$3,$B19&gt;$DB$6)),(T18*(1+$DH$1)),AND($W$2=$DA$2,$A19&lt;=$DA$3,$A19&lt;=$DA$4,$A19&lt;=$DA$5),(T18*(1+$DH$1))+(T$4),AND($W$2=$DB$2,$B19&lt;=$DB$3,$B19&lt;=$DB$4,$B19&lt;=$DB$5),(T18*(1+$DH$1))+(T$4))</f>
        <v>0</v>
      </c>
      <c r="U19" s="326" cm="1">
        <f t="array" ref="U19">_xlfn.IFS(AND($A19&gt;$DA$6,$B19&gt;$DB$6),0,AND($W$2=$DA$2,$A19&gt;$DA$4),IF($Y18=0,0,(U18-((U18/$Y18)*$BY18))*(1+$DH$2)),AND($W$2=$DB$2,$B19&gt;$DB$4),IF($Y18=0,0,(U18-((U18/$Y18)*$BY18))*(1+$DH$2)),AND($W$2=$DA$2,OR($A19&gt;$DA$3,$A19&gt;$DA$6)),(U18*(1+$DH$1)),AND($W$2=$DB$2,OR($B19&gt;$DB$3,$B19&gt;$DB$6)),(U18*(1+$DH$1)),AND($W$2=$DA$2,$A19&lt;=$DA$3,$A19&lt;=$DA$4,$A19&lt;=$DA$5),(U18*(1+$DH$1))+(U$4),AND($W$2=$DB$2,$B19&lt;=$DB$3,$B19&lt;=$DB$4,$B19&lt;=$DB$5),(U18*(1+$DH$1))+(U$4))</f>
        <v>0</v>
      </c>
      <c r="V19" s="326" cm="1">
        <f t="array" ref="V19">_xlfn.IFS(AND($A19&gt;$DA$6,$B19&gt;$DB$6),0,AND($W$2=$DA$2,$A19&gt;$DA$4),IF($Y18=0,0,(V18-((V18/$Y18)*$BY18))*(1+$DH$2)),AND($W$2=$DB$2,$B19&gt;$DB$4),IF($Y18=0,0,(V18-((V18/$Y18)*$BY18))*(1+$DH$2)),AND($W$2=$DA$2,OR($A19&gt;$DA$3,$A19&gt;$DA$6)),(V18*(1+$DH$1)),AND($W$2=$DB$2,OR($B19&gt;$DB$3,$B19&gt;$DB$6)),(V18*(1+$DH$1)),AND($W$2=$DA$2,$A19&lt;=$DA$3,$A19&lt;=$DA$4,$A19&lt;=$DA$5),(V18*(1+$DH$1))+(V$4),AND($W$2=$DB$2,$B19&lt;=$DB$3,$B19&lt;=$DB$4,$B19&lt;=$DB$5),(V18*(1+$DH$1))+(V$4))</f>
        <v>0</v>
      </c>
      <c r="W19" s="326" cm="1">
        <f t="array" ref="W19">_xlfn.IFS(AND($A19&gt;$DA$6,$B19&gt;$DB$6),0,AND($W$2=$DA$2,$A19&gt;$DA$4),IF($Y18=0,0,(W18-((W18/$Y18)*$BY18))*(1+$DH$2)),AND($W$2=$DB$2,$B19&gt;$DB$4),IF($Y18=0,0,(W18-((W18/$Y18)*$BY18))*(1+$DH$2)),AND($W$2=$DA$2,OR($A19&gt;$DA$3,$A19&gt;$DA$6)),(W18*(1+$DH$1)),AND($W$2=$DB$2,OR($B19&gt;$DB$3,$B19&gt;$DB$6)),(W18*(1+$DH$1)),AND($W$2=$DA$2,$A19&lt;=$DA$3,$A19&lt;=$DA$4,$A19&lt;=$DA$5),(W18*(1+$DH$1))+(W$4),AND($W$2=$DB$2,$B19&lt;=$DB$3,$B19&lt;=$DB$4,$B19&lt;=$DB$5),(W18*(1+$DH$1))+(W$4))</f>
        <v>0</v>
      </c>
      <c r="Y19" s="1">
        <f t="shared" si="18"/>
        <v>0</v>
      </c>
      <c r="Z19" s="2">
        <f t="shared" si="19"/>
        <v>0</v>
      </c>
      <c r="AA19" s="375"/>
      <c r="AC19" s="326" cm="1">
        <f t="array" ref="AC19">_xlfn.IFS(AND(A19&gt;DA$6,B19&gt;DB$6),0,AND(A19&gt;DA$4,B19&gt;DB$4),IF(AG18=0,0,(AC18-((AC18/AG18)*CA18))*(1+DH$2)),OR(A19&gt;DA$3,A19&gt;DA$6),AC18*(1+DH$1),A19&gt;DA$4,(AC18-CA18)*(1+DH$2),AND(A19&lt;=DA$3,A19&lt;=DA$4,A19&lt;=DA$6),(AC18*(1+DH$1))+(AC$4))</f>
        <v>0</v>
      </c>
      <c r="AD19" s="375"/>
      <c r="AE19" s="326" cm="1">
        <f t="array" ref="AE19">_xlfn.IFS(AND(A19&gt;DA$6,B19&gt;DB$6),0,AND(A19&gt;DA$4,B19&gt;DB$4),IF(AG18=0,0,(AE18-((AE18/AG18)*CA18))*(1+DH$2)),OR(B19&gt;DB$3,B19&gt;DB$6),AE18*(1+DH$1),B19&gt;DB$4,(AE18-CA18)*(1+DH$2),AND(B19&lt;=DB$3,B19&lt;=DB$4,B19&lt;=DB$6),(AE18*(1+DH$1))+(AE$4))</f>
        <v>0</v>
      </c>
      <c r="AF19" s="375"/>
      <c r="AG19" s="1">
        <f t="shared" si="5"/>
        <v>0</v>
      </c>
      <c r="AH19" s="2">
        <f t="shared" si="20"/>
        <v>0</v>
      </c>
      <c r="AI19" s="14">
        <f t="shared" si="6"/>
        <v>0</v>
      </c>
      <c r="AK19" s="1">
        <f t="shared" si="21"/>
        <v>0</v>
      </c>
      <c r="AL19" s="14">
        <f t="shared" si="22"/>
        <v>0</v>
      </c>
      <c r="AM19" s="14" t="str">
        <f t="shared" si="23"/>
        <v/>
      </c>
      <c r="AO19" s="15">
        <f t="shared" si="7"/>
        <v>0</v>
      </c>
      <c r="AP19" s="1">
        <f>IF(AND(B19&gt;=$DB$6,A19&gt;=$DA$6),0,AP18*(1+Lookups!C$12))</f>
        <v>0</v>
      </c>
      <c r="AQ19" s="1">
        <f>IF(AND(B19&gt;=$DB$6,A19&gt;=$DA$6),0,AQ18*(1+Lookups!C$12))</f>
        <v>0</v>
      </c>
      <c r="AS19" s="1" cm="1">
        <f t="array" ref="AS19">_xlfn.IFS(OR(AS$6="",AND(A19&gt;=DA$6,B19&gt;=DB$6),AND(A19&lt;DA$4,B19&lt;DB$4)),0,AND(A19=DA$4,DA$4&lt;=DB$4),AS$6,AND(B19=DB$4,DA$4&gt;=DB$4),AS$6,OR(A19&gt;DA$4,B19&gt;DB$4),AS18*(1+Setup!C$103))</f>
        <v>0</v>
      </c>
      <c r="AT19" s="1" cm="1">
        <f t="array" ref="AT19">_xlfn.IFS(OR(AT$6="",AND(A19&gt;=DA$6,B19&gt;=DB$6),AND(A19&lt;DA$4,B19&lt;DB$4)),0,AND(A19=DA$4,DA$4&lt;=DB$4),AT$6,AND(B19=DB$4,DA$4&gt;=DB$4),AT$6,OR(A19&gt;DA$4,B19&gt;DB$4),AT18*(1+Setup!C$103))</f>
        <v>0</v>
      </c>
      <c r="AU19" s="1" cm="1">
        <f t="array" ref="AU19">_xlfn.IFS(OR(AU$6="",AND(A19&gt;=DA$6,B19&gt;=DB$6),AND(A19&lt;DA$4,B19&lt;DB$4)),0,AND(A19=DA$4,DA$4&lt;=DB$4),AU$6,AND(B19=DB$4,DA$4&gt;=DB$4),AU$6,OR(A19&gt;DA$4,B19&gt;DB$4),AU18*(1+Setup!C$103))</f>
        <v>0</v>
      </c>
      <c r="AV19" s="1" cm="1">
        <f t="array" ref="AV19">_xlfn.IFS(OR(AV$6="",AND(A19&gt;=DA$6,B19&gt;=DB$6),AND(A19&lt;DA$4,B19&lt;DB$4)),0,AND(A19=DA$4,DA$4&lt;=DB$4),AV$6,AND(B19=DB$4,DA$4&gt;=DB$4),AV$6,OR(A19&gt;DA$4,B19&gt;DB$4),AV18*(1+Setup!C$103))</f>
        <v>0</v>
      </c>
      <c r="AW19" s="1">
        <f t="shared" si="8"/>
        <v>0</v>
      </c>
      <c r="AY19" s="1" cm="1">
        <f t="array" ref="AY19">_xlfn.IFS(OR(AND(A19&gt;=DA$6,B19&gt;=DB$6),A19&lt;DA$5),0,AND(A19=DA$5,YEAR(C19)&gt;=Lookups!D$89),VLOOKUP(A19,Lookups!B$94:F$102,3),AND(A19=DA$5,YEAR(C19)&lt;Lookups!D$89),VLOOKUP(A19,Lookups!B$94:F$102,2),AND(A19&gt;DA$5,YEAR(C19)=Lookups!D$89),(AY18*Lookups!D$90)*(1+Lookups!C$20),AND(A19&gt;DA$5,YEAR(C19)&lt;&gt;Lookups!D$89),AY18*(1+Lookups!C$20))</f>
        <v>0</v>
      </c>
      <c r="AZ19" s="1" cm="1">
        <f t="array" ref="AZ19">_xlfn.IFS(OR(ISBLANK(Setup!K$91),Setup!K$91=0,AND(A19&gt;=DA$6,B19&gt;=DB$6),B19&lt;DB$5),0,AND(B19=DB$5,YEAR(C19)&gt;=Lookups!D$89),VLOOKUP(B19,Lookups!B$94:F$102,5),AND(B19=DB$5,YEAR(C19)&lt;Lookups!D$89),VLOOKUP(B19,Lookups!B$94:F$102,4),AND(B19&gt;DB$5,YEAR(C19)=Lookups!D$89),(AZ18*Lookups!D$90)*(1+Lookups!C$20),AND(B19&gt;DB$5,YEAR(C19)&lt;&gt;Lookups!D$89),AZ18*(1+Lookups!C$20))</f>
        <v>0</v>
      </c>
      <c r="BA19" s="65">
        <f>IF(OR(AY19&gt;0,AZ19&gt;0),(AY19+AZ19)*Lookups!D$120,0)</f>
        <v>0</v>
      </c>
      <c r="BB19" s="1" cm="1">
        <f t="array" ref="BB19">_xlfn.IFS(AND(A19&lt;DA$4,B19&lt;DB$4),0,OR(_xlfn.XOR(A19&gt;DA$6,B19&gt;DB$6),_xlfn.XOR(A19&gt;=DA$4,B19&gt;=DB$4)),IF(AP19-SUM(AW19,AY19:AZ19)&gt;0,AP19-SUM(AW19,AY19:AZ19),0),AQ19-SUM(AW19,AY19:AZ19)&gt;0, AQ19-SUM(AW19,AY19:AZ19),AQ19-SUM(AW19,AY19:AZ19)&lt;=0,0)</f>
        <v>0</v>
      </c>
      <c r="BD19" s="1" cm="1">
        <f t="array" ref="BD19">_xlfn.IFS(AND(A19&gt;=DA$6,B19&gt;=DB$6),0,AND(A19&gt;=DA$6,B19&gt;=Lookups!C$35),D19/VLOOKUP(B19,Lookups!C$37:D$67,2),A19&lt;Lookups!$C$35,0,A19&gt;=Lookups!C$35,D19/VLOOKUP(A19,Lookups!C$37:D$67,2))</f>
        <v>0</v>
      </c>
      <c r="BE19" s="1" cm="1">
        <f t="array" ref="BE19">_xlfn.IFS(AND(A19&gt;=DA$6,B19&gt;=DB$6),0,AND(B19&gt;=DB$6,A19&gt;=Lookups!C$35),F19/VLOOKUP(A19,Lookups!C$37:D$67,2),B19&lt;Lookups!$C$35,0,B19&gt;=Lookups!C$35,F19/VLOOKUP(B19,Lookups!C$37:D$67,2))</f>
        <v>0</v>
      </c>
      <c r="BF19" s="1" cm="1">
        <f t="array" ref="BF19">_xlfn.IFS($BB19&lt;=0,0,AND(A19&gt;=DA$4,B19&gt;=DB$4,$BB19*I19&lt;(BD19+BE19)),0,AND(A19&gt;=DA$4,B19&gt;=DB$4,H19&gt;=(BB19*I19)-BD19-BE19),(BB19*I19)-BD19-BE19,AND(A19&gt;=DA$4,B19&gt;=DB$4,H19&lt;(BB19*I19)-BD19-BE19),H19,AND(A19&gt;=DA$4,$BB19*I19&lt;(BD19)),0,AND(A19&gt;=DA$4,H19&gt;=(BB19*I19)-BD19),(BB19*I19)-BD19,AND(A19&gt;=DA$4,H19&lt;(BB19*I19)-BD19),H19,AND(B19&gt;=DB$4,$BB19*I19&lt;(BE19)),0,AND(B19&gt;=DB$4,H19&gt;=(BB19*I19)-BE19),(BB19*I19)-BE19,AND(B19&gt;=DB$4,H19&lt;(BB19*I19)-BE19),H19)</f>
        <v>0</v>
      </c>
      <c r="BG19" s="1">
        <f t="shared" si="9"/>
        <v>0</v>
      </c>
      <c r="BH19" s="1" cm="1">
        <f t="array" ref="BH19">_xlfn.IFS(OR(D19=0,A19&lt;DA$4),0,AND(A19&gt;=DA$4,B19&gt;=DB$4,D19&lt;BD19+($BF19*(D19/$H19))+(-$BP19*(D19/$H19))),D19,AND(A19&gt;=DA$4,B19&gt;=DB$4,$BB19&gt;$BG19),BD19+($BF19*(D19/$H19))+(-$BP19*(D19/$H19)),AND(A19&gt;=DA$4,B19&gt;=DB$4,OR(A19&gt;DA$6, B19&gt;DB$6),$AP19-SUM($AW19,$AY19:$AZ19)&lt;0),BD19+($BF19*(D19/$H19))+(-$BP19*(D19/$H19))+(BP19*(D19/$H19)),AND(A19&gt;=DA$4,B19&gt;=DB$4,$AQ19-SUM($AW19,$AY19:$AZ19)&lt;0),BD19+($BF19*(D19/$H19))+(-$BP19*(D19/$H19))+(BP19*(D19/$H19)),AND(A19&gt;=DA$4,D19&lt;BD19+$BF19-$BP19),D19,AND(A19&gt;=DA$4,$AP19-SUM($AW19,$AY19:$AZ19)&lt;0),BD19+($BF19*(D19/$H19))+(-$BP19*(D19/$H19))+(BP19*(D19/$H19)),A19&gt;=DA$4,BD19+$BF19-$BP19)</f>
        <v>0</v>
      </c>
      <c r="BI19" s="1" cm="1">
        <f t="array" ref="BI19">_xlfn.IFS(OR(F19=0,B19&lt;DB$4),0,AND(A19&gt;=DA$4,B19&gt;=DB$4,F19&lt;BE19+($BF19*(F19/$H19))+(-$BP19*(F19/$H19))),F19,AND(A19&gt;=DA$4,B19&gt;=DB$4,$BB19&gt;$BG19),BE19+($BF19*(F19/$H19))+(-$BP19*(F19/$H19)),AND(A19&gt;=DA$4,B19&gt;=DB$4,OR(A19&gt;DA$6, B19&gt;DB$6),$AP19-SUM($AW19,$AY19:$AZ19)&lt;0),BE19+($BF19*(F19/$H19))+(-$BP19*(F19/$H19))+(BP19*(F19/$H19)),AND(A19&gt;=DA$4,B19&gt;=DB$4,$AQ19-SUM($AW19,$AY19:$AZ19)&lt;0),BE19+($BF19*(F19/$H19))+(-$BP19*(F19/$H19))+(BP19*(F19/$H19)),AND(B19&gt;=DB$4,F19&lt;BE19+$BF19-$BP19),F19,AND(B19&gt;=DB$4,$AP19-SUM($AW19,$AY19:$AZ19)&lt;0),BE19+($BF19*(F19/$H19))+(-$BP19*(F19/$H19))+(BP19*(F19/$H19)),B19&gt;=DB$4,BE19+$BF19-$BP19)</f>
        <v>0</v>
      </c>
      <c r="BJ19" s="64" cm="1">
        <f t="array" ref="BJ19">IF(AW19+BA19+BG19&gt;0, AW19+BA19+BG19-_xlfn.IFS(AND(A19&gt;=65,B19&gt;=65),VLOOKUP(Setup!I$4,Lookups!C$133:F$136,4),OR(A19&gt;=65,B19&gt;=65),VLOOKUP(Setup!I$4,Lookups!C$133:E$136,3),AND(A19&lt;65,B19&lt;65),VLOOKUP(Setup!I$4,Lookups!C$133:D$136,2)),0)</f>
        <v>0</v>
      </c>
      <c r="BK19" s="1" cm="1">
        <f t="array" ref="BK19">IF(BJ19&gt;0,_xlfn.IFS(Setup!I$4=Lookups!D$109,-_xlfn.IFS($BJ19&gt;=Lookups!D$157, Lookups!F$157+($BJ19-Lookups!D$157)*Lookups!G$157,$BJ19&gt;=Lookups!D$156, Lookups!F$156+($BJ19-Lookups!D$156)*Lookups!G$156,$BJ19&gt;=Lookups!D$155, Lookups!F$155+($BJ19-Lookups!D$155)*Lookups!G$155,$BJ19&gt;=Lookups!D$154, Lookups!F$154+($BJ19-Lookups!D$154)*Lookups!G$154,$BJ19&gt;=Lookups!D$153, Lookups!F$153+($BJ19-Lookups!D$153)*Lookups!G$153,$BJ19&gt;=Lookups!D$152, Lookups!F$152+($BJ19-Lookups!D$152)*Lookups!G$152,$BJ19&lt;Lookups!D$152,$BJ19*Lookups!G$151),Setup!I$4=Lookups!D$110,-_xlfn.IFS($BJ19&gt;=Lookups!D$167, Lookups!F$167+($BJ19-Lookups!D$167)*Lookups!G$167,$BJ19&gt;=Lookups!D$166, Lookups!F$166+($BJ19-Lookups!D$166)*Lookups!G$166,$BJ19&gt;=Lookups!D$165, Lookups!F$165+($BJ19-Lookups!D$165)*Lookups!G$165,$BJ19&gt;=Lookups!D$164, Lookups!F$164+($BJ19-Lookups!D$164)*Lookups!G$164,$BJ19&gt;=Lookups!D$163, Lookups!F$163+($BJ19-Lookups!D$163)*Lookups!G$163,$BJ19&gt;=Lookups!D$162, Lookups!F$162+($BJ19-Lookups!D$162)*Lookups!G$162,$BJ19&lt;Lookups!D$162,$BJ19*Lookups!G$161),Setup!I$4=Lookups!D$111,-_xlfn.IFS($BJ19&gt;=Lookups!D$177, Lookups!F$177+($BJ19-Lookups!D$177)*Lookups!G$177,$BJ19&gt;=Lookups!D$176, Lookups!F$176+($BJ19-Lookups!D$176)*Lookups!G$176,$BJ19&gt;=Lookups!D$175, Lookups!F$175+($BJ19-Lookups!D$175)*Lookups!G$175,$BJ19&gt;=Lookups!D$174, Lookups!F$174+($BJ19-Lookups!D$174)*Lookups!G$174,$BJ19&gt;=Lookups!D$173, Lookups!F$173+($BJ19-Lookups!D$173)*Lookups!G$173,$BJ19&gt;=Lookups!D$172, Lookups!F$172+($BJ19-Lookups!D$172)*Lookups!G$172,$BJ19&lt;Lookups!D$172,$BJ19*Lookups!G$171), Setup!I$4=Lookups!D$112,-_xlfn.IFS($BJ19&gt;=Lookups!D$187, Lookups!F$187+($BJ19-Lookups!D$187)*Lookups!G$187,$BJ19&gt;=Lookups!D$186, Lookups!F$186+($BJ19-Lookups!D$186)*Lookups!G$186,$BJ19&gt;=Lookups!D$185, Lookups!F$185+($BJ19-Lookups!D$185)*Lookups!G$185,$BJ19&gt;=Lookups!D$184, Lookups!F$184+($BJ19-Lookups!D$184)*Lookups!G$184,$BJ19&gt;=Lookups!D$183, Lookups!F$183+($BJ19-Lookups!D$183)*Lookups!G$183,$BJ19&gt;=Lookups!D$182, Lookups!F$182+($BJ19-Lookups!D$182)*Lookups!G$182,$BJ19&lt;Lookups!D$182,$BJ19*Lookups!G$181)),0)</f>
        <v>0</v>
      </c>
      <c r="BL19" s="18">
        <f t="shared" si="10"/>
        <v>0</v>
      </c>
      <c r="BM19" s="134">
        <f t="shared" si="24"/>
        <v>0</v>
      </c>
      <c r="BN19" s="134" cm="1">
        <f t="array" aca="1" ref="BN19" ca="1">INDIRECT(Setup!I$6&amp;"!"&amp;"A"&amp;ROW())</f>
        <v>0</v>
      </c>
      <c r="BO19" s="134">
        <f t="shared" si="25"/>
        <v>0</v>
      </c>
      <c r="BP19" s="1">
        <f t="shared" si="11"/>
        <v>0</v>
      </c>
      <c r="BQ19" s="1">
        <f t="shared" si="26"/>
        <v>0</v>
      </c>
      <c r="BS19" s="1">
        <f t="shared" si="27"/>
        <v>0</v>
      </c>
      <c r="BT19" s="1" cm="1">
        <f t="array" ref="BT19">-IF(BS19&gt;0,_xlfn.IFS((AW19+BA19+BG19+BS19)&gt;=VLOOKUP(Setup!I$4,Lookups!C$210:E$213,3),BS19*Lookups!D$203,(AW19+BA19+BG19+BS19)&gt;=VLOOKUP(Setup!I$4,Lookups!C$210:E$213,2),BS19*Lookups!D$197,(AW19+BA19+BG19+BS19)&lt;VLOOKUP(Setup!I$4,Lookups!C$210:E$213,2),0),0)</f>
        <v>0</v>
      </c>
      <c r="BU19" s="18">
        <f t="shared" si="28"/>
        <v>0</v>
      </c>
      <c r="BV19" s="1">
        <f t="shared" si="29"/>
        <v>0</v>
      </c>
      <c r="BW19" s="1" cm="1">
        <f t="array" aca="1" ref="BW19" ca="1">INDIRECT(Setup!I$6&amp;"!"&amp;"A"&amp;ROW()+100)</f>
        <v>0</v>
      </c>
      <c r="BX19" s="1">
        <f t="shared" ca="1" si="15"/>
        <v>0</v>
      </c>
      <c r="BY19" s="1">
        <f t="shared" ca="1" si="16"/>
        <v>0</v>
      </c>
      <c r="CA19" s="1">
        <f t="shared" si="34"/>
        <v>0</v>
      </c>
      <c r="CC19" s="1" cm="1">
        <f t="array" ref="CC19">_xlfn.IFS(AND(A19&lt;$DA$4,B19&lt;$DB$4),0,AND(AND(A19&gt;=$DA$4,B19&gt;=$DB$4),AND(A19&lt;=$DA$6,B19&lt;=$DB$6),AND(BH19=0,BI19=0)),SUM(AW19,AY19:AZ19,BD19:BF19,BP19,BS19,CA19)-AQ19,AND(AND(A19&gt;=$DA$4,B19&gt;=$DB$4),AND(A19&lt;=$DA$6,B19&lt;=$DB$6)),SUM(AW19,AY19:AZ19,BD19:BF19,BS19,CA19)-AQ19,AND(OR(A19&gt;=$DA$4,B19&gt;=$DB$4),AND(BH19=0,BI19=0)),SUM(AW19,AY19:AZ19,BD19:BF19,BP19,BS19,CA19)-AP19,OR(A19&gt;=$DA$4,B19&gt;=$DB$4),SUM(AW19,AY19:AZ19,BD19:BF19,BS19,CA19)-AP19)</f>
        <v>0</v>
      </c>
      <c r="CD19" s="142" t="str">
        <f t="shared" si="30"/>
        <v/>
      </c>
    </row>
    <row r="20" spans="1:83" x14ac:dyDescent="0.3">
      <c r="A20" s="354">
        <f t="shared" si="31"/>
        <v>13</v>
      </c>
      <c r="B20" s="354">
        <f t="shared" si="32"/>
        <v>13</v>
      </c>
      <c r="C20" s="359">
        <f t="shared" si="33"/>
        <v>4750</v>
      </c>
      <c r="D20" s="326" cm="1">
        <f t="array" ref="D20">_xlfn.IFS(AND(A20&gt;DA$6,B20&gt;DB$6),0,AND(A20&gt;DA$3,A20&lt;=DA$4),D19*(1+DH$1),OR(A20&gt;DA$6,A20&gt;DA$4),(D19-BH19)*(1+DH$2),A20&lt;=DA$4,(D19*(1+DH$1))+(D$4))</f>
        <v>0</v>
      </c>
      <c r="E20" s="375"/>
      <c r="F20" s="326" cm="1">
        <f t="array" ref="F20">_xlfn.IFS(AND(A20&gt;DA$6,B20&gt;DB$6),0,AND(B20&gt;DB$3,B20&lt;=DB$4),F19*(1+DH$1),OR(B20&gt;DB$6,B20&gt;DB$4),(F19-BI19)*(1+DH$2),B20&lt;=DB$4,(F19*(1+DH$1))+(F$4))</f>
        <v>0</v>
      </c>
      <c r="G20" s="375"/>
      <c r="H20" s="1">
        <f t="shared" si="17"/>
        <v>0</v>
      </c>
      <c r="I20" s="2">
        <f t="shared" si="2"/>
        <v>0</v>
      </c>
      <c r="J20" s="14">
        <f t="shared" si="35"/>
        <v>0</v>
      </c>
      <c r="L20" s="402" cm="1">
        <f t="array" ref="L20">_xlfn.IFS(AND(A20&gt;DA$6,B20&gt;DB$6),0,A20&lt;DA$6,0,A20=DA$6,L$4,AND(A20&gt;DA$6,B20&lt;=DB$4),L19*(1+DH$1),AND(A20&gt;DA$6,B20&gt;DB$4),IF(Y19=0,0,(L19-((L19/Y19)*BY19))*(1+DH$2)))</f>
        <v>0</v>
      </c>
      <c r="M20" s="402" cm="1">
        <f t="array" ref="M20">_xlfn.IFS(AND(A20&gt;DA$6,B20&gt;DB$6),0,B20&lt;DB$6,0,B20=DB$6,M$4,AND(B20&gt;DB$6,A20&lt;=DA$4),M19*(1+DH$1),AND(A20&gt;DA$4,B20&gt;DB$6),IF(Y19=0,0,(M19-((M19/Y19)*BY19))*(1+DH$2)))</f>
        <v>0</v>
      </c>
      <c r="N20" s="327"/>
      <c r="O20" s="327" cm="1">
        <f t="array" ref="O20">_xlfn.IFS(OR(ISBLANK(Setup!C$63),Setup!C$63&gt;YEAR(C20),AND(A20&gt;DA$6,B20&gt;DB$6),ISBLANK(Y19)),0,Setup!C$63=YEAR(C20),Setup!C$62,AND(OR(A20&lt;=DA$4,B20&lt;=DB$4),Setup!C$63&lt;YEAR(C20)),O19*(1+DH$1),AND(A20&gt;DA$4,B20&gt;DB$4,Setup!C$63&lt;YEAR(C20)),IF(Y19=0,0,(O19-((O19/Y19)*BY19))*(1+DH$2)))</f>
        <v>0</v>
      </c>
      <c r="P20" s="327" cm="1">
        <f t="array" ref="P20">_xlfn.IFS(OR(ISBLANK(Setup!C$67),Setup!C$67&gt;YEAR(C20),AND(A20&gt;DA$6,B20&gt;DB$6)),0,Setup!C$67=YEAR(C20),Setup!C$66,AND(OR(A20&lt;=DA$4,B20&lt;=DB$4),Setup!C$67&lt;YEAR(C20)),P19*(1+DH$1),AND(A20&gt;DA$4,B20&gt;DB$4,Setup!C$67&lt;YEAR(C20)),IF(Y19=0,0,(P19-((P19/Y19)*BY19))*(1+DH$2)))</f>
        <v>0</v>
      </c>
      <c r="Q20" s="327" cm="1">
        <f t="array" ref="Q20">_xlfn.IFS(OR(ISBLANK(Setup!C$71),Setup!C$71&gt;YEAR(C20),AND(A20&gt;DA$6,B20&gt;DB$6)),0,Setup!C$71=YEAR(C20),Setup!C$70,AND(OR(A20&lt;=DA$4,B20&lt;=DB$4),Setup!C$71&lt;YEAR(C20)),Q19*(1+DH$1),AND(A20&gt;DA$4,B20&gt;DB$4,Setup!C$71&lt;YEAR(C20)),IF(Y19=0,0,(Q19-((Q19/Y19)*BY19))*(1+DH$2)))</f>
        <v>0</v>
      </c>
      <c r="R20" s="327" cm="1">
        <f t="array" ref="R20">_xlfn.IFS(OR(ISBLANK(Setup!C$75),Setup!C$75&gt;YEAR(C20),AND(A20&gt;DA$6,B20&gt;DB$6)),0,Setup!C$75=YEAR(C20),Setup!C$74,AND(OR(A20&lt;=DA$4,B20&lt;=DB$4),Setup!C$75&lt;YEAR(C20)),R19*(1+DH$1),AND(A20&gt;DA$4,B20&gt;DB$4,Setup!C$75&lt;YEAR(C20)),IF(Y19=0,0,(R19-((R19/Y19)*BY19))*(1+DH$2)))</f>
        <v>0</v>
      </c>
      <c r="S20" s="327"/>
      <c r="T20" s="326" cm="1">
        <f t="array" ref="T20">_xlfn.IFS(AND($A20&gt;$DA$6,$B20&gt;$DB$6),0,AND($W$2=$DA$2,$A20&gt;$DA$4),IF($Y19=0,0,(T19-((T19/$Y19)*$BY19))*(1+$DH$2)),AND($W$2=$DB$2,$B20&gt;$DB$4),IF($Y19=0,0,(T19-((T19/$Y19)*$BY19))*(1+$DH$2)),AND($W$2=$DA$2,OR($A20&gt;$DA$3,$A20&gt;$DA$6)),(T19*(1+$DH$1)),AND($W$2=$DB$2,OR($B20&gt;$DB$3,$B20&gt;$DB$6)),(T19*(1+$DH$1)),AND($W$2=$DA$2,$A20&lt;=$DA$3,$A20&lt;=$DA$4,$A20&lt;=$DA$5),(T19*(1+$DH$1))+(T$4),AND($W$2=$DB$2,$B20&lt;=$DB$3,$B20&lt;=$DB$4,$B20&lt;=$DB$5),(T19*(1+$DH$1))+(T$4))</f>
        <v>0</v>
      </c>
      <c r="U20" s="326" cm="1">
        <f t="array" ref="U20">_xlfn.IFS(AND($A20&gt;$DA$6,$B20&gt;$DB$6),0,AND($W$2=$DA$2,$A20&gt;$DA$4),IF($Y19=0,0,(U19-((U19/$Y19)*$BY19))*(1+$DH$2)),AND($W$2=$DB$2,$B20&gt;$DB$4),IF($Y19=0,0,(U19-((U19/$Y19)*$BY19))*(1+$DH$2)),AND($W$2=$DA$2,OR($A20&gt;$DA$3,$A20&gt;$DA$6)),(U19*(1+$DH$1)),AND($W$2=$DB$2,OR($B20&gt;$DB$3,$B20&gt;$DB$6)),(U19*(1+$DH$1)),AND($W$2=$DA$2,$A20&lt;=$DA$3,$A20&lt;=$DA$4,$A20&lt;=$DA$5),(U19*(1+$DH$1))+(U$4),AND($W$2=$DB$2,$B20&lt;=$DB$3,$B20&lt;=$DB$4,$B20&lt;=$DB$5),(U19*(1+$DH$1))+(U$4))</f>
        <v>0</v>
      </c>
      <c r="V20" s="326" cm="1">
        <f t="array" ref="V20">_xlfn.IFS(AND($A20&gt;$DA$6,$B20&gt;$DB$6),0,AND($W$2=$DA$2,$A20&gt;$DA$4),IF($Y19=0,0,(V19-((V19/$Y19)*$BY19))*(1+$DH$2)),AND($W$2=$DB$2,$B20&gt;$DB$4),IF($Y19=0,0,(V19-((V19/$Y19)*$BY19))*(1+$DH$2)),AND($W$2=$DA$2,OR($A20&gt;$DA$3,$A20&gt;$DA$6)),(V19*(1+$DH$1)),AND($W$2=$DB$2,OR($B20&gt;$DB$3,$B20&gt;$DB$6)),(V19*(1+$DH$1)),AND($W$2=$DA$2,$A20&lt;=$DA$3,$A20&lt;=$DA$4,$A20&lt;=$DA$5),(V19*(1+$DH$1))+(V$4),AND($W$2=$DB$2,$B20&lt;=$DB$3,$B20&lt;=$DB$4,$B20&lt;=$DB$5),(V19*(1+$DH$1))+(V$4))</f>
        <v>0</v>
      </c>
      <c r="W20" s="326" cm="1">
        <f t="array" ref="W20">_xlfn.IFS(AND($A20&gt;$DA$6,$B20&gt;$DB$6),0,AND($W$2=$DA$2,$A20&gt;$DA$4),IF($Y19=0,0,(W19-((W19/$Y19)*$BY19))*(1+$DH$2)),AND($W$2=$DB$2,$B20&gt;$DB$4),IF($Y19=0,0,(W19-((W19/$Y19)*$BY19))*(1+$DH$2)),AND($W$2=$DA$2,OR($A20&gt;$DA$3,$A20&gt;$DA$6)),(W19*(1+$DH$1)),AND($W$2=$DB$2,OR($B20&gt;$DB$3,$B20&gt;$DB$6)),(W19*(1+$DH$1)),AND($W$2=$DA$2,$A20&lt;=$DA$3,$A20&lt;=$DA$4,$A20&lt;=$DA$5),(W19*(1+$DH$1))+(W$4),AND($W$2=$DB$2,$B20&lt;=$DB$3,$B20&lt;=$DB$4,$B20&lt;=$DB$5),(W19*(1+$DH$1))+(W$4))</f>
        <v>0</v>
      </c>
      <c r="Y20" s="1">
        <f t="shared" si="18"/>
        <v>0</v>
      </c>
      <c r="Z20" s="2">
        <f t="shared" si="19"/>
        <v>0</v>
      </c>
      <c r="AA20" s="375"/>
      <c r="AC20" s="326" cm="1">
        <f t="array" ref="AC20">_xlfn.IFS(AND(A20&gt;DA$6,B20&gt;DB$6),0,AND(A20&gt;DA$4,B20&gt;DB$4),IF(AG19=0,0,(AC19-((AC19/AG19)*CA19))*(1+DH$2)),OR(A20&gt;DA$3,A20&gt;DA$6),AC19*(1+DH$1),A20&gt;DA$4,(AC19-CA19)*(1+DH$2),AND(A20&lt;=DA$3,A20&lt;=DA$4,A20&lt;=DA$6),(AC19*(1+DH$1))+(AC$4))</f>
        <v>0</v>
      </c>
      <c r="AD20" s="375"/>
      <c r="AE20" s="326" cm="1">
        <f t="array" ref="AE20">_xlfn.IFS(AND(A20&gt;DA$6,B20&gt;DB$6),0,AND(A20&gt;DA$4,B20&gt;DB$4),IF(AG19=0,0,(AE19-((AE19/AG19)*CA19))*(1+DH$2)),OR(B20&gt;DB$3,B20&gt;DB$6),AE19*(1+DH$1),B20&gt;DB$4,(AE19-CA19)*(1+DH$2),AND(B20&lt;=DB$3,B20&lt;=DB$4,B20&lt;=DB$6),(AE19*(1+DH$1))+(AE$4))</f>
        <v>0</v>
      </c>
      <c r="AF20" s="375"/>
      <c r="AG20" s="1">
        <f t="shared" si="5"/>
        <v>0</v>
      </c>
      <c r="AH20" s="2">
        <f t="shared" si="20"/>
        <v>0</v>
      </c>
      <c r="AI20" s="14">
        <f t="shared" si="6"/>
        <v>0</v>
      </c>
      <c r="AK20" s="1">
        <f t="shared" si="21"/>
        <v>0</v>
      </c>
      <c r="AL20" s="14">
        <f t="shared" si="22"/>
        <v>0</v>
      </c>
      <c r="AM20" s="14" t="str">
        <f t="shared" si="23"/>
        <v/>
      </c>
      <c r="AO20" s="15">
        <f t="shared" si="7"/>
        <v>0</v>
      </c>
      <c r="AP20" s="1">
        <f>IF(AND(B20&gt;=$DB$6,A20&gt;=$DA$6),0,AP19*(1+Lookups!C$12))</f>
        <v>0</v>
      </c>
      <c r="AQ20" s="1">
        <f>IF(AND(B20&gt;=$DB$6,A20&gt;=$DA$6),0,AQ19*(1+Lookups!C$12))</f>
        <v>0</v>
      </c>
      <c r="AS20" s="1" cm="1">
        <f t="array" ref="AS20">_xlfn.IFS(OR(AS$6="",AND(A20&gt;=DA$6,B20&gt;=DB$6),AND(A20&lt;DA$4,B20&lt;DB$4)),0,AND(A20=DA$4,DA$4&lt;=DB$4),AS$6,AND(B20=DB$4,DA$4&gt;=DB$4),AS$6,OR(A20&gt;DA$4,B20&gt;DB$4),AS19*(1+Setup!C$103))</f>
        <v>0</v>
      </c>
      <c r="AT20" s="1" cm="1">
        <f t="array" ref="AT20">_xlfn.IFS(OR(AT$6="",AND(A20&gt;=DA$6,B20&gt;=DB$6),AND(A20&lt;DA$4,B20&lt;DB$4)),0,AND(A20=DA$4,DA$4&lt;=DB$4),AT$6,AND(B20=DB$4,DA$4&gt;=DB$4),AT$6,OR(A20&gt;DA$4,B20&gt;DB$4),AT19*(1+Setup!C$103))</f>
        <v>0</v>
      </c>
      <c r="AU20" s="1" cm="1">
        <f t="array" ref="AU20">_xlfn.IFS(OR(AU$6="",AND(A20&gt;=DA$6,B20&gt;=DB$6),AND(A20&lt;DA$4,B20&lt;DB$4)),0,AND(A20=DA$4,DA$4&lt;=DB$4),AU$6,AND(B20=DB$4,DA$4&gt;=DB$4),AU$6,OR(A20&gt;DA$4,B20&gt;DB$4),AU19*(1+Setup!C$103))</f>
        <v>0</v>
      </c>
      <c r="AV20" s="1" cm="1">
        <f t="array" ref="AV20">_xlfn.IFS(OR(AV$6="",AND(A20&gt;=DA$6,B20&gt;=DB$6),AND(A20&lt;DA$4,B20&lt;DB$4)),0,AND(A20=DA$4,DA$4&lt;=DB$4),AV$6,AND(B20=DB$4,DA$4&gt;=DB$4),AV$6,OR(A20&gt;DA$4,B20&gt;DB$4),AV19*(1+Setup!C$103))</f>
        <v>0</v>
      </c>
      <c r="AW20" s="1">
        <f t="shared" si="8"/>
        <v>0</v>
      </c>
      <c r="AY20" s="1" cm="1">
        <f t="array" ref="AY20">_xlfn.IFS(OR(AND(A20&gt;=DA$6,B20&gt;=DB$6),A20&lt;DA$5),0,AND(A20=DA$5,YEAR(C20)&gt;=Lookups!D$89),VLOOKUP(A20,Lookups!B$94:F$102,3),AND(A20=DA$5,YEAR(C20)&lt;Lookups!D$89),VLOOKUP(A20,Lookups!B$94:F$102,2),AND(A20&gt;DA$5,YEAR(C20)=Lookups!D$89),(AY19*Lookups!D$90)*(1+Lookups!C$20),AND(A20&gt;DA$5,YEAR(C20)&lt;&gt;Lookups!D$89),AY19*(1+Lookups!C$20))</f>
        <v>0</v>
      </c>
      <c r="AZ20" s="1" cm="1">
        <f t="array" ref="AZ20">_xlfn.IFS(OR(ISBLANK(Setup!K$91),Setup!K$91=0,AND(A20&gt;=DA$6,B20&gt;=DB$6),B20&lt;DB$5),0,AND(B20=DB$5,YEAR(C20)&gt;=Lookups!D$89),VLOOKUP(B20,Lookups!B$94:F$102,5),AND(B20=DB$5,YEAR(C20)&lt;Lookups!D$89),VLOOKUP(B20,Lookups!B$94:F$102,4),AND(B20&gt;DB$5,YEAR(C20)=Lookups!D$89),(AZ19*Lookups!D$90)*(1+Lookups!C$20),AND(B20&gt;DB$5,YEAR(C20)&lt;&gt;Lookups!D$89),AZ19*(1+Lookups!C$20))</f>
        <v>0</v>
      </c>
      <c r="BA20" s="65">
        <f>IF(OR(AY20&gt;0,AZ20&gt;0),(AY20+AZ20)*Lookups!D$120,0)</f>
        <v>0</v>
      </c>
      <c r="BB20" s="1" cm="1">
        <f t="array" ref="BB20">_xlfn.IFS(AND(A20&lt;DA$4,B20&lt;DB$4),0,OR(_xlfn.XOR(A20&gt;DA$6,B20&gt;DB$6),_xlfn.XOR(A20&gt;=DA$4,B20&gt;=DB$4)),IF(AP20-SUM(AW20,AY20:AZ20)&gt;0,AP20-SUM(AW20,AY20:AZ20),0),AQ20-SUM(AW20,AY20:AZ20)&gt;0, AQ20-SUM(AW20,AY20:AZ20),AQ20-SUM(AW20,AY20:AZ20)&lt;=0,0)</f>
        <v>0</v>
      </c>
      <c r="BD20" s="1" cm="1">
        <f t="array" ref="BD20">_xlfn.IFS(AND(A20&gt;=DA$6,B20&gt;=DB$6),0,AND(A20&gt;=DA$6,B20&gt;=Lookups!C$35),D20/VLOOKUP(B20,Lookups!C$37:D$67,2),A20&lt;Lookups!$C$35,0,A20&gt;=Lookups!C$35,D20/VLOOKUP(A20,Lookups!C$37:D$67,2))</f>
        <v>0</v>
      </c>
      <c r="BE20" s="1" cm="1">
        <f t="array" ref="BE20">_xlfn.IFS(AND(A20&gt;=DA$6,B20&gt;=DB$6),0,AND(B20&gt;=DB$6,A20&gt;=Lookups!C$35),F20/VLOOKUP(A20,Lookups!C$37:D$67,2),B20&lt;Lookups!$C$35,0,B20&gt;=Lookups!C$35,F20/VLOOKUP(B20,Lookups!C$37:D$67,2))</f>
        <v>0</v>
      </c>
      <c r="BF20" s="1" cm="1">
        <f t="array" ref="BF20">_xlfn.IFS($BB20&lt;=0,0,AND(A20&gt;=DA$4,B20&gt;=DB$4,$BB20*I20&lt;(BD20+BE20)),0,AND(A20&gt;=DA$4,B20&gt;=DB$4,H20&gt;=(BB20*I20)-BD20-BE20),(BB20*I20)-BD20-BE20,AND(A20&gt;=DA$4,B20&gt;=DB$4,H20&lt;(BB20*I20)-BD20-BE20),H20,AND(A20&gt;=DA$4,$BB20*I20&lt;(BD20)),0,AND(A20&gt;=DA$4,H20&gt;=(BB20*I20)-BD20),(BB20*I20)-BD20,AND(A20&gt;=DA$4,H20&lt;(BB20*I20)-BD20),H20,AND(B20&gt;=DB$4,$BB20*I20&lt;(BE20)),0,AND(B20&gt;=DB$4,H20&gt;=(BB20*I20)-BE20),(BB20*I20)-BE20,AND(B20&gt;=DB$4,H20&lt;(BB20*I20)-BE20),H20)</f>
        <v>0</v>
      </c>
      <c r="BG20" s="1">
        <f t="shared" si="9"/>
        <v>0</v>
      </c>
      <c r="BH20" s="1" cm="1">
        <f t="array" ref="BH20">_xlfn.IFS(OR(D20=0,A20&lt;DA$4),0,AND(A20&gt;=DA$4,B20&gt;=DB$4,D20&lt;BD20+($BF20*(D20/$H20))+(-$BP20*(D20/$H20))),D20,AND(A20&gt;=DA$4,B20&gt;=DB$4,$BB20&gt;$BG20),BD20+($BF20*(D20/$H20))+(-$BP20*(D20/$H20)),AND(A20&gt;=DA$4,B20&gt;=DB$4,OR(A20&gt;DA$6, B20&gt;DB$6),$AP20-SUM($AW20,$AY20:$AZ20)&lt;0),BD20+($BF20*(D20/$H20))+(-$BP20*(D20/$H20))+(BP20*(D20/$H20)),AND(A20&gt;=DA$4,B20&gt;=DB$4,$AQ20-SUM($AW20,$AY20:$AZ20)&lt;0),BD20+($BF20*(D20/$H20))+(-$BP20*(D20/$H20))+(BP20*(D20/$H20)),AND(A20&gt;=DA$4,D20&lt;BD20+$BF20-$BP20),D20,AND(A20&gt;=DA$4,$AP20-SUM($AW20,$AY20:$AZ20)&lt;0),BD20+($BF20*(D20/$H20))+(-$BP20*(D20/$H20))+(BP20*(D20/$H20)),A20&gt;=DA$4,BD20+$BF20-$BP20)</f>
        <v>0</v>
      </c>
      <c r="BI20" s="1" cm="1">
        <f t="array" ref="BI20">_xlfn.IFS(OR(F20=0,B20&lt;DB$4),0,AND(A20&gt;=DA$4,B20&gt;=DB$4,F20&lt;BE20+($BF20*(F20/$H20))+(-$BP20*(F20/$H20))),F20,AND(A20&gt;=DA$4,B20&gt;=DB$4,$BB20&gt;$BG20),BE20+($BF20*(F20/$H20))+(-$BP20*(F20/$H20)),AND(A20&gt;=DA$4,B20&gt;=DB$4,OR(A20&gt;DA$6, B20&gt;DB$6),$AP20-SUM($AW20,$AY20:$AZ20)&lt;0),BE20+($BF20*(F20/$H20))+(-$BP20*(F20/$H20))+(BP20*(F20/$H20)),AND(A20&gt;=DA$4,B20&gt;=DB$4,$AQ20-SUM($AW20,$AY20:$AZ20)&lt;0),BE20+($BF20*(F20/$H20))+(-$BP20*(F20/$H20))+(BP20*(F20/$H20)),AND(B20&gt;=DB$4,F20&lt;BE20+$BF20-$BP20),F20,AND(B20&gt;=DB$4,$AP20-SUM($AW20,$AY20:$AZ20)&lt;0),BE20+($BF20*(F20/$H20))+(-$BP20*(F20/$H20))+(BP20*(F20/$H20)),B20&gt;=DB$4,BE20+$BF20-$BP20)</f>
        <v>0</v>
      </c>
      <c r="BJ20" s="64" cm="1">
        <f t="array" ref="BJ20">IF(AW20+BA20+BG20&gt;0, AW20+BA20+BG20-_xlfn.IFS(AND(A20&gt;=65,B20&gt;=65),VLOOKUP(Setup!I$4,Lookups!C$133:F$136,4),OR(A20&gt;=65,B20&gt;=65),VLOOKUP(Setup!I$4,Lookups!C$133:E$136,3),AND(A20&lt;65,B20&lt;65),VLOOKUP(Setup!I$4,Lookups!C$133:D$136,2)),0)</f>
        <v>0</v>
      </c>
      <c r="BK20" s="1" cm="1">
        <f t="array" ref="BK20">IF(BJ20&gt;0,_xlfn.IFS(Setup!I$4=Lookups!D$109,-_xlfn.IFS($BJ20&gt;=Lookups!D$157, Lookups!F$157+($BJ20-Lookups!D$157)*Lookups!G$157,$BJ20&gt;=Lookups!D$156, Lookups!F$156+($BJ20-Lookups!D$156)*Lookups!G$156,$BJ20&gt;=Lookups!D$155, Lookups!F$155+($BJ20-Lookups!D$155)*Lookups!G$155,$BJ20&gt;=Lookups!D$154, Lookups!F$154+($BJ20-Lookups!D$154)*Lookups!G$154,$BJ20&gt;=Lookups!D$153, Lookups!F$153+($BJ20-Lookups!D$153)*Lookups!G$153,$BJ20&gt;=Lookups!D$152, Lookups!F$152+($BJ20-Lookups!D$152)*Lookups!G$152,$BJ20&lt;Lookups!D$152,$BJ20*Lookups!G$151),Setup!I$4=Lookups!D$110,-_xlfn.IFS($BJ20&gt;=Lookups!D$167, Lookups!F$167+($BJ20-Lookups!D$167)*Lookups!G$167,$BJ20&gt;=Lookups!D$166, Lookups!F$166+($BJ20-Lookups!D$166)*Lookups!G$166,$BJ20&gt;=Lookups!D$165, Lookups!F$165+($BJ20-Lookups!D$165)*Lookups!G$165,$BJ20&gt;=Lookups!D$164, Lookups!F$164+($BJ20-Lookups!D$164)*Lookups!G$164,$BJ20&gt;=Lookups!D$163, Lookups!F$163+($BJ20-Lookups!D$163)*Lookups!G$163,$BJ20&gt;=Lookups!D$162, Lookups!F$162+($BJ20-Lookups!D$162)*Lookups!G$162,$BJ20&lt;Lookups!D$162,$BJ20*Lookups!G$161),Setup!I$4=Lookups!D$111,-_xlfn.IFS($BJ20&gt;=Lookups!D$177, Lookups!F$177+($BJ20-Lookups!D$177)*Lookups!G$177,$BJ20&gt;=Lookups!D$176, Lookups!F$176+($BJ20-Lookups!D$176)*Lookups!G$176,$BJ20&gt;=Lookups!D$175, Lookups!F$175+($BJ20-Lookups!D$175)*Lookups!G$175,$BJ20&gt;=Lookups!D$174, Lookups!F$174+($BJ20-Lookups!D$174)*Lookups!G$174,$BJ20&gt;=Lookups!D$173, Lookups!F$173+($BJ20-Lookups!D$173)*Lookups!G$173,$BJ20&gt;=Lookups!D$172, Lookups!F$172+($BJ20-Lookups!D$172)*Lookups!G$172,$BJ20&lt;Lookups!D$172,$BJ20*Lookups!G$171), Setup!I$4=Lookups!D$112,-_xlfn.IFS($BJ20&gt;=Lookups!D$187, Lookups!F$187+($BJ20-Lookups!D$187)*Lookups!G$187,$BJ20&gt;=Lookups!D$186, Lookups!F$186+($BJ20-Lookups!D$186)*Lookups!G$186,$BJ20&gt;=Lookups!D$185, Lookups!F$185+($BJ20-Lookups!D$185)*Lookups!G$185,$BJ20&gt;=Lookups!D$184, Lookups!F$184+($BJ20-Lookups!D$184)*Lookups!G$184,$BJ20&gt;=Lookups!D$183, Lookups!F$183+($BJ20-Lookups!D$183)*Lookups!G$183,$BJ20&gt;=Lookups!D$182, Lookups!F$182+($BJ20-Lookups!D$182)*Lookups!G$182,$BJ20&lt;Lookups!D$182,$BJ20*Lookups!G$181)),0)</f>
        <v>0</v>
      </c>
      <c r="BL20" s="18">
        <f t="shared" si="10"/>
        <v>0</v>
      </c>
      <c r="BM20" s="134">
        <f t="shared" si="24"/>
        <v>0</v>
      </c>
      <c r="BN20" s="134" cm="1">
        <f t="array" aca="1" ref="BN20" ca="1">INDIRECT(Setup!I$6&amp;"!"&amp;"A"&amp;ROW())</f>
        <v>0</v>
      </c>
      <c r="BO20" s="134">
        <f t="shared" si="25"/>
        <v>0</v>
      </c>
      <c r="BP20" s="1">
        <f t="shared" si="11"/>
        <v>0</v>
      </c>
      <c r="BQ20" s="1">
        <f t="shared" si="26"/>
        <v>0</v>
      </c>
      <c r="BS20" s="1">
        <f t="shared" si="27"/>
        <v>0</v>
      </c>
      <c r="BT20" s="1" cm="1">
        <f t="array" ref="BT20">-IF(BS20&gt;0,_xlfn.IFS((AW20+BA20+BG20+BS20)&gt;=VLOOKUP(Setup!I$4,Lookups!C$210:E$213,3),BS20*Lookups!D$203,(AW20+BA20+BG20+BS20)&gt;=VLOOKUP(Setup!I$4,Lookups!C$210:E$213,2),BS20*Lookups!D$197,(AW20+BA20+BG20+BS20)&lt;VLOOKUP(Setup!I$4,Lookups!C$210:E$213,2),0),0)</f>
        <v>0</v>
      </c>
      <c r="BU20" s="18">
        <f t="shared" si="28"/>
        <v>0</v>
      </c>
      <c r="BV20" s="1">
        <f t="shared" si="29"/>
        <v>0</v>
      </c>
      <c r="BW20" s="1" cm="1">
        <f t="array" aca="1" ref="BW20" ca="1">INDIRECT(Setup!I$6&amp;"!"&amp;"A"&amp;ROW()+100)</f>
        <v>0</v>
      </c>
      <c r="BX20" s="1">
        <f t="shared" ca="1" si="15"/>
        <v>0</v>
      </c>
      <c r="BY20" s="1">
        <f t="shared" ca="1" si="16"/>
        <v>0</v>
      </c>
      <c r="CA20" s="1">
        <f t="shared" si="34"/>
        <v>0</v>
      </c>
      <c r="CC20" s="1" cm="1">
        <f t="array" ref="CC20">_xlfn.IFS(AND(A20&lt;$DA$4,B20&lt;$DB$4),0,AND(AND(A20&gt;=$DA$4,B20&gt;=$DB$4),AND(A20&lt;=$DA$6,B20&lt;=$DB$6),AND(BH20=0,BI20=0)),SUM(AW20,AY20:AZ20,BD20:BF20,BP20,BS20,CA20)-AQ20,AND(AND(A20&gt;=$DA$4,B20&gt;=$DB$4),AND(A20&lt;=$DA$6,B20&lt;=$DB$6)),SUM(AW20,AY20:AZ20,BD20:BF20,BS20,CA20)-AQ20,AND(OR(A20&gt;=$DA$4,B20&gt;=$DB$4),AND(BH20=0,BI20=0)),SUM(AW20,AY20:AZ20,BD20:BF20,BP20,BS20,CA20)-AP20,OR(A20&gt;=$DA$4,B20&gt;=$DB$4),SUM(AW20,AY20:AZ20,BD20:BF20,BS20,CA20)-AP20)</f>
        <v>0</v>
      </c>
      <c r="CD20" s="142" t="str">
        <f t="shared" si="30"/>
        <v/>
      </c>
    </row>
    <row r="21" spans="1:83" x14ac:dyDescent="0.3">
      <c r="A21" s="354">
        <f t="shared" si="31"/>
        <v>14</v>
      </c>
      <c r="B21" s="354">
        <f t="shared" si="32"/>
        <v>14</v>
      </c>
      <c r="C21" s="359">
        <f t="shared" si="33"/>
        <v>5115</v>
      </c>
      <c r="D21" s="326" cm="1">
        <f t="array" ref="D21">_xlfn.IFS(AND(A21&gt;DA$6,B21&gt;DB$6),0,AND(A21&gt;DA$3,A21&lt;=DA$4),D20*(1+DH$1),OR(A21&gt;DA$6,A21&gt;DA$4),(D20-BH20)*(1+DH$2),A21&lt;=DA$4,(D20*(1+DH$1))+(D$4))</f>
        <v>0</v>
      </c>
      <c r="E21" s="375"/>
      <c r="F21" s="326" cm="1">
        <f t="array" ref="F21">_xlfn.IFS(AND(A21&gt;DA$6,B21&gt;DB$6),0,AND(B21&gt;DB$3,B21&lt;=DB$4),F20*(1+DH$1),OR(B21&gt;DB$6,B21&gt;DB$4),(F20-BI20)*(1+DH$2),B21&lt;=DB$4,(F20*(1+DH$1))+(F$4))</f>
        <v>0</v>
      </c>
      <c r="G21" s="375"/>
      <c r="H21" s="1">
        <f t="shared" si="17"/>
        <v>0</v>
      </c>
      <c r="I21" s="2">
        <f t="shared" si="2"/>
        <v>0</v>
      </c>
      <c r="J21" s="14">
        <f t="shared" si="35"/>
        <v>0</v>
      </c>
      <c r="L21" s="402" cm="1">
        <f t="array" ref="L21">_xlfn.IFS(AND(A21&gt;DA$6,B21&gt;DB$6),0,A21&lt;DA$6,0,A21=DA$6,L$4,AND(A21&gt;DA$6,B21&lt;=DB$4),L20*(1+DH$1),AND(A21&gt;DA$6,B21&gt;DB$4),IF(Y20=0,0,(L20-((L20/Y20)*BY20))*(1+DH$2)))</f>
        <v>0</v>
      </c>
      <c r="M21" s="402" cm="1">
        <f t="array" ref="M21">_xlfn.IFS(AND(A21&gt;DA$6,B21&gt;DB$6),0,B21&lt;DB$6,0,B21=DB$6,M$4,AND(B21&gt;DB$6,A21&lt;=DA$4),M20*(1+DH$1),AND(A21&gt;DA$4,B21&gt;DB$6),IF(Y20=0,0,(M20-((M20/Y20)*BY20))*(1+DH$2)))</f>
        <v>0</v>
      </c>
      <c r="N21" s="327"/>
      <c r="O21" s="327" cm="1">
        <f t="array" ref="O21">_xlfn.IFS(OR(ISBLANK(Setup!C$63),Setup!C$63&gt;YEAR(C21),AND(A21&gt;DA$6,B21&gt;DB$6),ISBLANK(Y20)),0,Setup!C$63=YEAR(C21),Setup!C$62,AND(OR(A21&lt;=DA$4,B21&lt;=DB$4),Setup!C$63&lt;YEAR(C21)),O20*(1+DH$1),AND(A21&gt;DA$4,B21&gt;DB$4,Setup!C$63&lt;YEAR(C21)),IF(Y20=0,0,(O20-((O20/Y20)*BY20))*(1+DH$2)))</f>
        <v>0</v>
      </c>
      <c r="P21" s="327" cm="1">
        <f t="array" ref="P21">_xlfn.IFS(OR(ISBLANK(Setup!C$67),Setup!C$67&gt;YEAR(C21),AND(A21&gt;DA$6,B21&gt;DB$6)),0,Setup!C$67=YEAR(C21),Setup!C$66,AND(OR(A21&lt;=DA$4,B21&lt;=DB$4),Setup!C$67&lt;YEAR(C21)),P20*(1+DH$1),AND(A21&gt;DA$4,B21&gt;DB$4,Setup!C$67&lt;YEAR(C21)),IF(Y20=0,0,(P20-((P20/Y20)*BY20))*(1+DH$2)))</f>
        <v>0</v>
      </c>
      <c r="Q21" s="327" cm="1">
        <f t="array" ref="Q21">_xlfn.IFS(OR(ISBLANK(Setup!C$71),Setup!C$71&gt;YEAR(C21),AND(A21&gt;DA$6,B21&gt;DB$6)),0,Setup!C$71=YEAR(C21),Setup!C$70,AND(OR(A21&lt;=DA$4,B21&lt;=DB$4),Setup!C$71&lt;YEAR(C21)),Q20*(1+DH$1),AND(A21&gt;DA$4,B21&gt;DB$4,Setup!C$71&lt;YEAR(C21)),IF(Y20=0,0,(Q20-((Q20/Y20)*BY20))*(1+DH$2)))</f>
        <v>0</v>
      </c>
      <c r="R21" s="327" cm="1">
        <f t="array" ref="R21">_xlfn.IFS(OR(ISBLANK(Setup!C$75),Setup!C$75&gt;YEAR(C21),AND(A21&gt;DA$6,B21&gt;DB$6)),0,Setup!C$75=YEAR(C21),Setup!C$74,AND(OR(A21&lt;=DA$4,B21&lt;=DB$4),Setup!C$75&lt;YEAR(C21)),R20*(1+DH$1),AND(A21&gt;DA$4,B21&gt;DB$4,Setup!C$75&lt;YEAR(C21)),IF(Y20=0,0,(R20-((R20/Y20)*BY20))*(1+DH$2)))</f>
        <v>0</v>
      </c>
      <c r="S21" s="327"/>
      <c r="T21" s="326" cm="1">
        <f t="array" ref="T21">_xlfn.IFS(AND($A21&gt;$DA$6,$B21&gt;$DB$6),0,AND($W$2=$DA$2,$A21&gt;$DA$4),IF($Y20=0,0,(T20-((T20/$Y20)*$BY20))*(1+$DH$2)),AND($W$2=$DB$2,$B21&gt;$DB$4),IF($Y20=0,0,(T20-((T20/$Y20)*$BY20))*(1+$DH$2)),AND($W$2=$DA$2,OR($A21&gt;$DA$3,$A21&gt;$DA$6)),(T20*(1+$DH$1)),AND($W$2=$DB$2,OR($B21&gt;$DB$3,$B21&gt;$DB$6)),(T20*(1+$DH$1)),AND($W$2=$DA$2,$A21&lt;=$DA$3,$A21&lt;=$DA$4,$A21&lt;=$DA$5),(T20*(1+$DH$1))+(T$4),AND($W$2=$DB$2,$B21&lt;=$DB$3,$B21&lt;=$DB$4,$B21&lt;=$DB$5),(T20*(1+$DH$1))+(T$4))</f>
        <v>0</v>
      </c>
      <c r="U21" s="326" cm="1">
        <f t="array" ref="U21">_xlfn.IFS(AND($A21&gt;$DA$6,$B21&gt;$DB$6),0,AND($W$2=$DA$2,$A21&gt;$DA$4),IF($Y20=0,0,(U20-((U20/$Y20)*$BY20))*(1+$DH$2)),AND($W$2=$DB$2,$B21&gt;$DB$4),IF($Y20=0,0,(U20-((U20/$Y20)*$BY20))*(1+$DH$2)),AND($W$2=$DA$2,OR($A21&gt;$DA$3,$A21&gt;$DA$6)),(U20*(1+$DH$1)),AND($W$2=$DB$2,OR($B21&gt;$DB$3,$B21&gt;$DB$6)),(U20*(1+$DH$1)),AND($W$2=$DA$2,$A21&lt;=$DA$3,$A21&lt;=$DA$4,$A21&lt;=$DA$5),(U20*(1+$DH$1))+(U$4),AND($W$2=$DB$2,$B21&lt;=$DB$3,$B21&lt;=$DB$4,$B21&lt;=$DB$5),(U20*(1+$DH$1))+(U$4))</f>
        <v>0</v>
      </c>
      <c r="V21" s="326" cm="1">
        <f t="array" ref="V21">_xlfn.IFS(AND($A21&gt;$DA$6,$B21&gt;$DB$6),0,AND($W$2=$DA$2,$A21&gt;$DA$4),IF($Y20=0,0,(V20-((V20/$Y20)*$BY20))*(1+$DH$2)),AND($W$2=$DB$2,$B21&gt;$DB$4),IF($Y20=0,0,(V20-((V20/$Y20)*$BY20))*(1+$DH$2)),AND($W$2=$DA$2,OR($A21&gt;$DA$3,$A21&gt;$DA$6)),(V20*(1+$DH$1)),AND($W$2=$DB$2,OR($B21&gt;$DB$3,$B21&gt;$DB$6)),(V20*(1+$DH$1)),AND($W$2=$DA$2,$A21&lt;=$DA$3,$A21&lt;=$DA$4,$A21&lt;=$DA$5),(V20*(1+$DH$1))+(V$4),AND($W$2=$DB$2,$B21&lt;=$DB$3,$B21&lt;=$DB$4,$B21&lt;=$DB$5),(V20*(1+$DH$1))+(V$4))</f>
        <v>0</v>
      </c>
      <c r="W21" s="326" cm="1">
        <f t="array" ref="W21">_xlfn.IFS(AND($A21&gt;$DA$6,$B21&gt;$DB$6),0,AND($W$2=$DA$2,$A21&gt;$DA$4),IF($Y20=0,0,(W20-((W20/$Y20)*$BY20))*(1+$DH$2)),AND($W$2=$DB$2,$B21&gt;$DB$4),IF($Y20=0,0,(W20-((W20/$Y20)*$BY20))*(1+$DH$2)),AND($W$2=$DA$2,OR($A21&gt;$DA$3,$A21&gt;$DA$6)),(W20*(1+$DH$1)),AND($W$2=$DB$2,OR($B21&gt;$DB$3,$B21&gt;$DB$6)),(W20*(1+$DH$1)),AND($W$2=$DA$2,$A21&lt;=$DA$3,$A21&lt;=$DA$4,$A21&lt;=$DA$5),(W20*(1+$DH$1))+(W$4),AND($W$2=$DB$2,$B21&lt;=$DB$3,$B21&lt;=$DB$4,$B21&lt;=$DB$5),(W20*(1+$DH$1))+(W$4))</f>
        <v>0</v>
      </c>
      <c r="Y21" s="1">
        <f t="shared" si="18"/>
        <v>0</v>
      </c>
      <c r="Z21" s="2">
        <f t="shared" si="19"/>
        <v>0</v>
      </c>
      <c r="AA21" s="375"/>
      <c r="AC21" s="326" cm="1">
        <f t="array" ref="AC21">_xlfn.IFS(AND(A21&gt;DA$6,B21&gt;DB$6),0,AND(A21&gt;DA$4,B21&gt;DB$4),IF(AG20=0,0,(AC20-((AC20/AG20)*CA20))*(1+DH$2)),OR(A21&gt;DA$3,A21&gt;DA$6),AC20*(1+DH$1),A21&gt;DA$4,(AC20-CA20)*(1+DH$2),AND(A21&lt;=DA$3,A21&lt;=DA$4,A21&lt;=DA$6),(AC20*(1+DH$1))+(AC$4))</f>
        <v>0</v>
      </c>
      <c r="AD21" s="375"/>
      <c r="AE21" s="326" cm="1">
        <f t="array" ref="AE21">_xlfn.IFS(AND(A21&gt;DA$6,B21&gt;DB$6),0,AND(A21&gt;DA$4,B21&gt;DB$4),IF(AG20=0,0,(AE20-((AE20/AG20)*CA20))*(1+DH$2)),OR(B21&gt;DB$3,B21&gt;DB$6),AE20*(1+DH$1),B21&gt;DB$4,(AE20-CA20)*(1+DH$2),AND(B21&lt;=DB$3,B21&lt;=DB$4,B21&lt;=DB$6),(AE20*(1+DH$1))+(AE$4))</f>
        <v>0</v>
      </c>
      <c r="AF21" s="375"/>
      <c r="AG21" s="1">
        <f t="shared" si="5"/>
        <v>0</v>
      </c>
      <c r="AH21" s="2">
        <f t="shared" si="20"/>
        <v>0</v>
      </c>
      <c r="AI21" s="14">
        <f t="shared" si="6"/>
        <v>0</v>
      </c>
      <c r="AK21" s="1">
        <f t="shared" si="21"/>
        <v>0</v>
      </c>
      <c r="AL21" s="14">
        <f t="shared" si="22"/>
        <v>0</v>
      </c>
      <c r="AM21" s="14" t="str">
        <f t="shared" si="23"/>
        <v/>
      </c>
      <c r="AO21" s="15">
        <f t="shared" si="7"/>
        <v>0</v>
      </c>
      <c r="AP21" s="1">
        <f>IF(AND(B21&gt;=$DB$6,A21&gt;=$DA$6),0,AP20*(1+Lookups!C$12))</f>
        <v>0</v>
      </c>
      <c r="AQ21" s="1">
        <f>IF(AND(B21&gt;=$DB$6,A21&gt;=$DA$6),0,AQ20*(1+Lookups!C$12))</f>
        <v>0</v>
      </c>
      <c r="AS21" s="1" cm="1">
        <f t="array" ref="AS21">_xlfn.IFS(OR(AS$6="",AND(A21&gt;=DA$6,B21&gt;=DB$6),AND(A21&lt;DA$4,B21&lt;DB$4)),0,AND(A21=DA$4,DA$4&lt;=DB$4),AS$6,AND(B21=DB$4,DA$4&gt;=DB$4),AS$6,OR(A21&gt;DA$4,B21&gt;DB$4),AS20*(1+Setup!C$103))</f>
        <v>0</v>
      </c>
      <c r="AT21" s="1" cm="1">
        <f t="array" ref="AT21">_xlfn.IFS(OR(AT$6="",AND(A21&gt;=DA$6,B21&gt;=DB$6),AND(A21&lt;DA$4,B21&lt;DB$4)),0,AND(A21=DA$4,DA$4&lt;=DB$4),AT$6,AND(B21=DB$4,DA$4&gt;=DB$4),AT$6,OR(A21&gt;DA$4,B21&gt;DB$4),AT20*(1+Setup!C$103))</f>
        <v>0</v>
      </c>
      <c r="AU21" s="1" cm="1">
        <f t="array" ref="AU21">_xlfn.IFS(OR(AU$6="",AND(A21&gt;=DA$6,B21&gt;=DB$6),AND(A21&lt;DA$4,B21&lt;DB$4)),0,AND(A21=DA$4,DA$4&lt;=DB$4),AU$6,AND(B21=DB$4,DA$4&gt;=DB$4),AU$6,OR(A21&gt;DA$4,B21&gt;DB$4),AU20*(1+Setup!C$103))</f>
        <v>0</v>
      </c>
      <c r="AV21" s="1" cm="1">
        <f t="array" ref="AV21">_xlfn.IFS(OR(AV$6="",AND(A21&gt;=DA$6,B21&gt;=DB$6),AND(A21&lt;DA$4,B21&lt;DB$4)),0,AND(A21=DA$4,DA$4&lt;=DB$4),AV$6,AND(B21=DB$4,DA$4&gt;=DB$4),AV$6,OR(A21&gt;DA$4,B21&gt;DB$4),AV20*(1+Setup!C$103))</f>
        <v>0</v>
      </c>
      <c r="AW21" s="1">
        <f t="shared" si="8"/>
        <v>0</v>
      </c>
      <c r="AY21" s="1" cm="1">
        <f t="array" ref="AY21">_xlfn.IFS(OR(AND(A21&gt;=DA$6,B21&gt;=DB$6),A21&lt;DA$5),0,AND(A21=DA$5,YEAR(C21)&gt;=Lookups!D$89),VLOOKUP(A21,Lookups!B$94:F$102,3),AND(A21=DA$5,YEAR(C21)&lt;Lookups!D$89),VLOOKUP(A21,Lookups!B$94:F$102,2),AND(A21&gt;DA$5,YEAR(C21)=Lookups!D$89),(AY20*Lookups!D$90)*(1+Lookups!C$20),AND(A21&gt;DA$5,YEAR(C21)&lt;&gt;Lookups!D$89),AY20*(1+Lookups!C$20))</f>
        <v>0</v>
      </c>
      <c r="AZ21" s="1" cm="1">
        <f t="array" ref="AZ21">_xlfn.IFS(OR(ISBLANK(Setup!K$91),Setup!K$91=0,AND(A21&gt;=DA$6,B21&gt;=DB$6),B21&lt;DB$5),0,AND(B21=DB$5,YEAR(C21)&gt;=Lookups!D$89),VLOOKUP(B21,Lookups!B$94:F$102,5),AND(B21=DB$5,YEAR(C21)&lt;Lookups!D$89),VLOOKUP(B21,Lookups!B$94:F$102,4),AND(B21&gt;DB$5,YEAR(C21)=Lookups!D$89),(AZ20*Lookups!D$90)*(1+Lookups!C$20),AND(B21&gt;DB$5,YEAR(C21)&lt;&gt;Lookups!D$89),AZ20*(1+Lookups!C$20))</f>
        <v>0</v>
      </c>
      <c r="BA21" s="65">
        <f>IF(OR(AY21&gt;0,AZ21&gt;0),(AY21+AZ21)*Lookups!D$120,0)</f>
        <v>0</v>
      </c>
      <c r="BB21" s="1" cm="1">
        <f t="array" ref="BB21">_xlfn.IFS(AND(A21&lt;DA$4,B21&lt;DB$4),0,OR(_xlfn.XOR(A21&gt;DA$6,B21&gt;DB$6),_xlfn.XOR(A21&gt;=DA$4,B21&gt;=DB$4)),IF(AP21-SUM(AW21,AY21:AZ21)&gt;0,AP21-SUM(AW21,AY21:AZ21),0),AQ21-SUM(AW21,AY21:AZ21)&gt;0, AQ21-SUM(AW21,AY21:AZ21),AQ21-SUM(AW21,AY21:AZ21)&lt;=0,0)</f>
        <v>0</v>
      </c>
      <c r="BD21" s="1" cm="1">
        <f t="array" ref="BD21">_xlfn.IFS(AND(A21&gt;=DA$6,B21&gt;=DB$6),0,AND(A21&gt;=DA$6,B21&gt;=Lookups!C$35),D21/VLOOKUP(B21,Lookups!C$37:D$67,2),A21&lt;Lookups!$C$35,0,A21&gt;=Lookups!C$35,D21/VLOOKUP(A21,Lookups!C$37:D$67,2))</f>
        <v>0</v>
      </c>
      <c r="BE21" s="1" cm="1">
        <f t="array" ref="BE21">_xlfn.IFS(AND(A21&gt;=DA$6,B21&gt;=DB$6),0,AND(B21&gt;=DB$6,A21&gt;=Lookups!C$35),F21/VLOOKUP(A21,Lookups!C$37:D$67,2),B21&lt;Lookups!$C$35,0,B21&gt;=Lookups!C$35,F21/VLOOKUP(B21,Lookups!C$37:D$67,2))</f>
        <v>0</v>
      </c>
      <c r="BF21" s="1" cm="1">
        <f t="array" ref="BF21">_xlfn.IFS($BB21&lt;=0,0,AND(A21&gt;=DA$4,B21&gt;=DB$4,$BB21*I21&lt;(BD21+BE21)),0,AND(A21&gt;=DA$4,B21&gt;=DB$4,H21&gt;=(BB21*I21)-BD21-BE21),(BB21*I21)-BD21-BE21,AND(A21&gt;=DA$4,B21&gt;=DB$4,H21&lt;(BB21*I21)-BD21-BE21),H21,AND(A21&gt;=DA$4,$BB21*I21&lt;(BD21)),0,AND(A21&gt;=DA$4,H21&gt;=(BB21*I21)-BD21),(BB21*I21)-BD21,AND(A21&gt;=DA$4,H21&lt;(BB21*I21)-BD21),H21,AND(B21&gt;=DB$4,$BB21*I21&lt;(BE21)),0,AND(B21&gt;=DB$4,H21&gt;=(BB21*I21)-BE21),(BB21*I21)-BE21,AND(B21&gt;=DB$4,H21&lt;(BB21*I21)-BE21),H21)</f>
        <v>0</v>
      </c>
      <c r="BG21" s="1">
        <f t="shared" si="9"/>
        <v>0</v>
      </c>
      <c r="BH21" s="1" cm="1">
        <f t="array" ref="BH21">_xlfn.IFS(OR(D21=0,A21&lt;DA$4),0,AND(A21&gt;=DA$4,B21&gt;=DB$4,D21&lt;BD21+($BF21*(D21/$H21))+(-$BP21*(D21/$H21))),D21,AND(A21&gt;=DA$4,B21&gt;=DB$4,$BB21&gt;$BG21),BD21+($BF21*(D21/$H21))+(-$BP21*(D21/$H21)),AND(A21&gt;=DA$4,B21&gt;=DB$4,OR(A21&gt;DA$6, B21&gt;DB$6),$AP21-SUM($AW21,$AY21:$AZ21)&lt;0),BD21+($BF21*(D21/$H21))+(-$BP21*(D21/$H21))+(BP21*(D21/$H21)),AND(A21&gt;=DA$4,B21&gt;=DB$4,$AQ21-SUM($AW21,$AY21:$AZ21)&lt;0),BD21+($BF21*(D21/$H21))+(-$BP21*(D21/$H21))+(BP21*(D21/$H21)),AND(A21&gt;=DA$4,D21&lt;BD21+$BF21-$BP21),D21,AND(A21&gt;=DA$4,$AP21-SUM($AW21,$AY21:$AZ21)&lt;0),BD21+($BF21*(D21/$H21))+(-$BP21*(D21/$H21))+(BP21*(D21/$H21)),A21&gt;=DA$4,BD21+$BF21-$BP21)</f>
        <v>0</v>
      </c>
      <c r="BI21" s="1" cm="1">
        <f t="array" ref="BI21">_xlfn.IFS(OR(F21=0,B21&lt;DB$4),0,AND(A21&gt;=DA$4,B21&gt;=DB$4,F21&lt;BE21+($BF21*(F21/$H21))+(-$BP21*(F21/$H21))),F21,AND(A21&gt;=DA$4,B21&gt;=DB$4,$BB21&gt;$BG21),BE21+($BF21*(F21/$H21))+(-$BP21*(F21/$H21)),AND(A21&gt;=DA$4,B21&gt;=DB$4,OR(A21&gt;DA$6, B21&gt;DB$6),$AP21-SUM($AW21,$AY21:$AZ21)&lt;0),BE21+($BF21*(F21/$H21))+(-$BP21*(F21/$H21))+(BP21*(F21/$H21)),AND(A21&gt;=DA$4,B21&gt;=DB$4,$AQ21-SUM($AW21,$AY21:$AZ21)&lt;0),BE21+($BF21*(F21/$H21))+(-$BP21*(F21/$H21))+(BP21*(F21/$H21)),AND(B21&gt;=DB$4,F21&lt;BE21+$BF21-$BP21),F21,AND(B21&gt;=DB$4,$AP21-SUM($AW21,$AY21:$AZ21)&lt;0),BE21+($BF21*(F21/$H21))+(-$BP21*(F21/$H21))+(BP21*(F21/$H21)),B21&gt;=DB$4,BE21+$BF21-$BP21)</f>
        <v>0</v>
      </c>
      <c r="BJ21" s="64" cm="1">
        <f t="array" ref="BJ21">IF(AW21+BA21+BG21&gt;0, AW21+BA21+BG21-_xlfn.IFS(AND(A21&gt;=65,B21&gt;=65),VLOOKUP(Setup!I$4,Lookups!C$133:F$136,4),OR(A21&gt;=65,B21&gt;=65),VLOOKUP(Setup!I$4,Lookups!C$133:E$136,3),AND(A21&lt;65,B21&lt;65),VLOOKUP(Setup!I$4,Lookups!C$133:D$136,2)),0)</f>
        <v>0</v>
      </c>
      <c r="BK21" s="1" cm="1">
        <f t="array" ref="BK21">IF(BJ21&gt;0,_xlfn.IFS(Setup!I$4=Lookups!D$109,-_xlfn.IFS($BJ21&gt;=Lookups!D$157, Lookups!F$157+($BJ21-Lookups!D$157)*Lookups!G$157,$BJ21&gt;=Lookups!D$156, Lookups!F$156+($BJ21-Lookups!D$156)*Lookups!G$156,$BJ21&gt;=Lookups!D$155, Lookups!F$155+($BJ21-Lookups!D$155)*Lookups!G$155,$BJ21&gt;=Lookups!D$154, Lookups!F$154+($BJ21-Lookups!D$154)*Lookups!G$154,$BJ21&gt;=Lookups!D$153, Lookups!F$153+($BJ21-Lookups!D$153)*Lookups!G$153,$BJ21&gt;=Lookups!D$152, Lookups!F$152+($BJ21-Lookups!D$152)*Lookups!G$152,$BJ21&lt;Lookups!D$152,$BJ21*Lookups!G$151),Setup!I$4=Lookups!D$110,-_xlfn.IFS($BJ21&gt;=Lookups!D$167, Lookups!F$167+($BJ21-Lookups!D$167)*Lookups!G$167,$BJ21&gt;=Lookups!D$166, Lookups!F$166+($BJ21-Lookups!D$166)*Lookups!G$166,$BJ21&gt;=Lookups!D$165, Lookups!F$165+($BJ21-Lookups!D$165)*Lookups!G$165,$BJ21&gt;=Lookups!D$164, Lookups!F$164+($BJ21-Lookups!D$164)*Lookups!G$164,$BJ21&gt;=Lookups!D$163, Lookups!F$163+($BJ21-Lookups!D$163)*Lookups!G$163,$BJ21&gt;=Lookups!D$162, Lookups!F$162+($BJ21-Lookups!D$162)*Lookups!G$162,$BJ21&lt;Lookups!D$162,$BJ21*Lookups!G$161),Setup!I$4=Lookups!D$111,-_xlfn.IFS($BJ21&gt;=Lookups!D$177, Lookups!F$177+($BJ21-Lookups!D$177)*Lookups!G$177,$BJ21&gt;=Lookups!D$176, Lookups!F$176+($BJ21-Lookups!D$176)*Lookups!G$176,$BJ21&gt;=Lookups!D$175, Lookups!F$175+($BJ21-Lookups!D$175)*Lookups!G$175,$BJ21&gt;=Lookups!D$174, Lookups!F$174+($BJ21-Lookups!D$174)*Lookups!G$174,$BJ21&gt;=Lookups!D$173, Lookups!F$173+($BJ21-Lookups!D$173)*Lookups!G$173,$BJ21&gt;=Lookups!D$172, Lookups!F$172+($BJ21-Lookups!D$172)*Lookups!G$172,$BJ21&lt;Lookups!D$172,$BJ21*Lookups!G$171), Setup!I$4=Lookups!D$112,-_xlfn.IFS($BJ21&gt;=Lookups!D$187, Lookups!F$187+($BJ21-Lookups!D$187)*Lookups!G$187,$BJ21&gt;=Lookups!D$186, Lookups!F$186+($BJ21-Lookups!D$186)*Lookups!G$186,$BJ21&gt;=Lookups!D$185, Lookups!F$185+($BJ21-Lookups!D$185)*Lookups!G$185,$BJ21&gt;=Lookups!D$184, Lookups!F$184+($BJ21-Lookups!D$184)*Lookups!G$184,$BJ21&gt;=Lookups!D$183, Lookups!F$183+($BJ21-Lookups!D$183)*Lookups!G$183,$BJ21&gt;=Lookups!D$182, Lookups!F$182+($BJ21-Lookups!D$182)*Lookups!G$182,$BJ21&lt;Lookups!D$182,$BJ21*Lookups!G$181)),0)</f>
        <v>0</v>
      </c>
      <c r="BL21" s="18">
        <f t="shared" si="10"/>
        <v>0</v>
      </c>
      <c r="BM21" s="134">
        <f t="shared" si="24"/>
        <v>0</v>
      </c>
      <c r="BN21" s="134" cm="1">
        <f t="array" aca="1" ref="BN21" ca="1">INDIRECT(Setup!I$6&amp;"!"&amp;"A"&amp;ROW())</f>
        <v>0</v>
      </c>
      <c r="BO21" s="134">
        <f t="shared" si="25"/>
        <v>0</v>
      </c>
      <c r="BP21" s="1">
        <f t="shared" si="11"/>
        <v>0</v>
      </c>
      <c r="BQ21" s="1">
        <f t="shared" si="26"/>
        <v>0</v>
      </c>
      <c r="BS21" s="1">
        <f t="shared" si="27"/>
        <v>0</v>
      </c>
      <c r="BT21" s="1" cm="1">
        <f t="array" ref="BT21">-IF(BS21&gt;0,_xlfn.IFS((AW21+BA21+BG21+BS21)&gt;=VLOOKUP(Setup!I$4,Lookups!C$210:E$213,3),BS21*Lookups!D$203,(AW21+BA21+BG21+BS21)&gt;=VLOOKUP(Setup!I$4,Lookups!C$210:E$213,2),BS21*Lookups!D$197,(AW21+BA21+BG21+BS21)&lt;VLOOKUP(Setup!I$4,Lookups!C$210:E$213,2),0),0)</f>
        <v>0</v>
      </c>
      <c r="BU21" s="18">
        <f t="shared" si="28"/>
        <v>0</v>
      </c>
      <c r="BV21" s="1">
        <f t="shared" si="29"/>
        <v>0</v>
      </c>
      <c r="BW21" s="1" cm="1">
        <f t="array" aca="1" ref="BW21" ca="1">INDIRECT(Setup!I$6&amp;"!"&amp;"A"&amp;ROW()+100)</f>
        <v>0</v>
      </c>
      <c r="BX21" s="1">
        <f t="shared" ca="1" si="15"/>
        <v>0</v>
      </c>
      <c r="BY21" s="1">
        <f t="shared" ca="1" si="16"/>
        <v>0</v>
      </c>
      <c r="CA21" s="1">
        <f t="shared" si="34"/>
        <v>0</v>
      </c>
      <c r="CC21" s="1" cm="1">
        <f t="array" ref="CC21">_xlfn.IFS(AND(A21&lt;$DA$4,B21&lt;$DB$4),0,AND(AND(A21&gt;=$DA$4,B21&gt;=$DB$4),AND(A21&lt;=$DA$6,B21&lt;=$DB$6),AND(BH21=0,BI21=0)),SUM(AW21,AY21:AZ21,BD21:BF21,BP21,BS21,CA21)-AQ21,AND(AND(A21&gt;=$DA$4,B21&gt;=$DB$4),AND(A21&lt;=$DA$6,B21&lt;=$DB$6)),SUM(AW21,AY21:AZ21,BD21:BF21,BS21,CA21)-AQ21,AND(OR(A21&gt;=$DA$4,B21&gt;=$DB$4),AND(BH21=0,BI21=0)),SUM(AW21,AY21:AZ21,BD21:BF21,BP21,BS21,CA21)-AP21,OR(A21&gt;=$DA$4,B21&gt;=$DB$4),SUM(AW21,AY21:AZ21,BD21:BF21,BS21,CA21)-AP21)</f>
        <v>0</v>
      </c>
      <c r="CD21" s="142" t="str">
        <f t="shared" si="30"/>
        <v/>
      </c>
    </row>
    <row r="22" spans="1:83" x14ac:dyDescent="0.3">
      <c r="A22" s="354">
        <f t="shared" si="31"/>
        <v>15</v>
      </c>
      <c r="B22" s="354">
        <f t="shared" si="32"/>
        <v>15</v>
      </c>
      <c r="C22" s="359">
        <f t="shared" si="33"/>
        <v>5480</v>
      </c>
      <c r="D22" s="326" cm="1">
        <f t="array" ref="D22">_xlfn.IFS(AND(A22&gt;DA$6,B22&gt;DB$6),0,AND(A22&gt;DA$3,A22&lt;=DA$4),D21*(1+DH$1),OR(A22&gt;DA$6,A22&gt;DA$4),(D21-BH21)*(1+DH$2),A22&lt;=DA$4,(D21*(1+DH$1))+(D$4))</f>
        <v>0</v>
      </c>
      <c r="E22" s="375"/>
      <c r="F22" s="326" cm="1">
        <f t="array" ref="F22">_xlfn.IFS(AND(A22&gt;DA$6,B22&gt;DB$6),0,AND(B22&gt;DB$3,B22&lt;=DB$4),F21*(1+DH$1),OR(B22&gt;DB$6,B22&gt;DB$4),(F21-BI21)*(1+DH$2),B22&lt;=DB$4,(F21*(1+DH$1))+(F$4))</f>
        <v>0</v>
      </c>
      <c r="G22" s="375"/>
      <c r="H22" s="1">
        <f t="shared" si="17"/>
        <v>0</v>
      </c>
      <c r="I22" s="2">
        <f t="shared" si="2"/>
        <v>0</v>
      </c>
      <c r="J22" s="14">
        <f t="shared" si="35"/>
        <v>0</v>
      </c>
      <c r="L22" s="402" cm="1">
        <f t="array" ref="L22">_xlfn.IFS(AND(A22&gt;DA$6,B22&gt;DB$6),0,A22&lt;DA$6,0,A22=DA$6,L$4,AND(A22&gt;DA$6,B22&lt;=DB$4),L21*(1+DH$1),AND(A22&gt;DA$6,B22&gt;DB$4),IF(Y21=0,0,(L21-((L21/Y21)*BY21))*(1+DH$2)))</f>
        <v>0</v>
      </c>
      <c r="M22" s="402" cm="1">
        <f t="array" ref="M22">_xlfn.IFS(AND(A22&gt;DA$6,B22&gt;DB$6),0,B22&lt;DB$6,0,B22=DB$6,M$4,AND(B22&gt;DB$6,A22&lt;=DA$4),M21*(1+DH$1),AND(A22&gt;DA$4,B22&gt;DB$6),IF(Y21=0,0,(M21-((M21/Y21)*BY21))*(1+DH$2)))</f>
        <v>0</v>
      </c>
      <c r="N22" s="327"/>
      <c r="O22" s="327" cm="1">
        <f t="array" ref="O22">_xlfn.IFS(OR(ISBLANK(Setup!C$63),Setup!C$63&gt;YEAR(C22),AND(A22&gt;DA$6,B22&gt;DB$6),ISBLANK(Y21)),0,Setup!C$63=YEAR(C22),Setup!C$62,AND(OR(A22&lt;=DA$4,B22&lt;=DB$4),Setup!C$63&lt;YEAR(C22)),O21*(1+DH$1),AND(A22&gt;DA$4,B22&gt;DB$4,Setup!C$63&lt;YEAR(C22)),IF(Y21=0,0,(O21-((O21/Y21)*BY21))*(1+DH$2)))</f>
        <v>0</v>
      </c>
      <c r="P22" s="327" cm="1">
        <f t="array" ref="P22">_xlfn.IFS(OR(ISBLANK(Setup!C$67),Setup!C$67&gt;YEAR(C22),AND(A22&gt;DA$6,B22&gt;DB$6)),0,Setup!C$67=YEAR(C22),Setup!C$66,AND(OR(A22&lt;=DA$4,B22&lt;=DB$4),Setup!C$67&lt;YEAR(C22)),P21*(1+DH$1),AND(A22&gt;DA$4,B22&gt;DB$4,Setup!C$67&lt;YEAR(C22)),IF(Y21=0,0,(P21-((P21/Y21)*BY21))*(1+DH$2)))</f>
        <v>0</v>
      </c>
      <c r="Q22" s="327" cm="1">
        <f t="array" ref="Q22">_xlfn.IFS(OR(ISBLANK(Setup!C$71),Setup!C$71&gt;YEAR(C22),AND(A22&gt;DA$6,B22&gt;DB$6)),0,Setup!C$71=YEAR(C22),Setup!C$70,AND(OR(A22&lt;=DA$4,B22&lt;=DB$4),Setup!C$71&lt;YEAR(C22)),Q21*(1+DH$1),AND(A22&gt;DA$4,B22&gt;DB$4,Setup!C$71&lt;YEAR(C22)),IF(Y21=0,0,(Q21-((Q21/Y21)*BY21))*(1+DH$2)))</f>
        <v>0</v>
      </c>
      <c r="R22" s="327" cm="1">
        <f t="array" ref="R22">_xlfn.IFS(OR(ISBLANK(Setup!C$75),Setup!C$75&gt;YEAR(C22),AND(A22&gt;DA$6,B22&gt;DB$6)),0,Setup!C$75=YEAR(C22),Setup!C$74,AND(OR(A22&lt;=DA$4,B22&lt;=DB$4),Setup!C$75&lt;YEAR(C22)),R21*(1+DH$1),AND(A22&gt;DA$4,B22&gt;DB$4,Setup!C$75&lt;YEAR(C22)),IF(Y21=0,0,(R21-((R21/Y21)*BY21))*(1+DH$2)))</f>
        <v>0</v>
      </c>
      <c r="S22" s="327"/>
      <c r="T22" s="326" cm="1">
        <f t="array" ref="T22">_xlfn.IFS(AND($A22&gt;$DA$6,$B22&gt;$DB$6),0,AND($W$2=$DA$2,$A22&gt;$DA$4),IF($Y21=0,0,(T21-((T21/$Y21)*$BY21))*(1+$DH$2)),AND($W$2=$DB$2,$B22&gt;$DB$4),IF($Y21=0,0,(T21-((T21/$Y21)*$BY21))*(1+$DH$2)),AND($W$2=$DA$2,OR($A22&gt;$DA$3,$A22&gt;$DA$6)),(T21*(1+$DH$1)),AND($W$2=$DB$2,OR($B22&gt;$DB$3,$B22&gt;$DB$6)),(T21*(1+$DH$1)),AND($W$2=$DA$2,$A22&lt;=$DA$3,$A22&lt;=$DA$4,$A22&lt;=$DA$5),(T21*(1+$DH$1))+(T$4),AND($W$2=$DB$2,$B22&lt;=$DB$3,$B22&lt;=$DB$4,$B22&lt;=$DB$5),(T21*(1+$DH$1))+(T$4))</f>
        <v>0</v>
      </c>
      <c r="U22" s="326" cm="1">
        <f t="array" ref="U22">_xlfn.IFS(AND($A22&gt;$DA$6,$B22&gt;$DB$6),0,AND($W$2=$DA$2,$A22&gt;$DA$4),IF($Y21=0,0,(U21-((U21/$Y21)*$BY21))*(1+$DH$2)),AND($W$2=$DB$2,$B22&gt;$DB$4),IF($Y21=0,0,(U21-((U21/$Y21)*$BY21))*(1+$DH$2)),AND($W$2=$DA$2,OR($A22&gt;$DA$3,$A22&gt;$DA$6)),(U21*(1+$DH$1)),AND($W$2=$DB$2,OR($B22&gt;$DB$3,$B22&gt;$DB$6)),(U21*(1+$DH$1)),AND($W$2=$DA$2,$A22&lt;=$DA$3,$A22&lt;=$DA$4,$A22&lt;=$DA$5),(U21*(1+$DH$1))+(U$4),AND($W$2=$DB$2,$B22&lt;=$DB$3,$B22&lt;=$DB$4,$B22&lt;=$DB$5),(U21*(1+$DH$1))+(U$4))</f>
        <v>0</v>
      </c>
      <c r="V22" s="326" cm="1">
        <f t="array" ref="V22">_xlfn.IFS(AND($A22&gt;$DA$6,$B22&gt;$DB$6),0,AND($W$2=$DA$2,$A22&gt;$DA$4),IF($Y21=0,0,(V21-((V21/$Y21)*$BY21))*(1+$DH$2)),AND($W$2=$DB$2,$B22&gt;$DB$4),IF($Y21=0,0,(V21-((V21/$Y21)*$BY21))*(1+$DH$2)),AND($W$2=$DA$2,OR($A22&gt;$DA$3,$A22&gt;$DA$6)),(V21*(1+$DH$1)),AND($W$2=$DB$2,OR($B22&gt;$DB$3,$B22&gt;$DB$6)),(V21*(1+$DH$1)),AND($W$2=$DA$2,$A22&lt;=$DA$3,$A22&lt;=$DA$4,$A22&lt;=$DA$5),(V21*(1+$DH$1))+(V$4),AND($W$2=$DB$2,$B22&lt;=$DB$3,$B22&lt;=$DB$4,$B22&lt;=$DB$5),(V21*(1+$DH$1))+(V$4))</f>
        <v>0</v>
      </c>
      <c r="W22" s="326" cm="1">
        <f t="array" ref="W22">_xlfn.IFS(AND($A22&gt;$DA$6,$B22&gt;$DB$6),0,AND($W$2=$DA$2,$A22&gt;$DA$4),IF($Y21=0,0,(W21-((W21/$Y21)*$BY21))*(1+$DH$2)),AND($W$2=$DB$2,$B22&gt;$DB$4),IF($Y21=0,0,(W21-((W21/$Y21)*$BY21))*(1+$DH$2)),AND($W$2=$DA$2,OR($A22&gt;$DA$3,$A22&gt;$DA$6)),(W21*(1+$DH$1)),AND($W$2=$DB$2,OR($B22&gt;$DB$3,$B22&gt;$DB$6)),(W21*(1+$DH$1)),AND($W$2=$DA$2,$A22&lt;=$DA$3,$A22&lt;=$DA$4,$A22&lt;=$DA$5),(W21*(1+$DH$1))+(W$4),AND($W$2=$DB$2,$B22&lt;=$DB$3,$B22&lt;=$DB$4,$B22&lt;=$DB$5),(W21*(1+$DH$1))+(W$4))</f>
        <v>0</v>
      </c>
      <c r="Y22" s="1">
        <f t="shared" si="18"/>
        <v>0</v>
      </c>
      <c r="Z22" s="2">
        <f t="shared" si="19"/>
        <v>0</v>
      </c>
      <c r="AA22" s="375"/>
      <c r="AC22" s="326" cm="1">
        <f t="array" ref="AC22">_xlfn.IFS(AND(A22&gt;DA$6,B22&gt;DB$6),0,AND(A22&gt;DA$4,B22&gt;DB$4),IF(AG21=0,0,(AC21-((AC21/AG21)*CA21))*(1+DH$2)),OR(A22&gt;DA$3,A22&gt;DA$6),AC21*(1+DH$1),A22&gt;DA$4,(AC21-CA21)*(1+DH$2),AND(A22&lt;=DA$3,A22&lt;=DA$4,A22&lt;=DA$6),(AC21*(1+DH$1))+(AC$4))</f>
        <v>0</v>
      </c>
      <c r="AD22" s="375"/>
      <c r="AE22" s="326" cm="1">
        <f t="array" ref="AE22">_xlfn.IFS(AND(A22&gt;DA$6,B22&gt;DB$6),0,AND(A22&gt;DA$4,B22&gt;DB$4),IF(AG21=0,0,(AE21-((AE21/AG21)*CA21))*(1+DH$2)),OR(B22&gt;DB$3,B22&gt;DB$6),AE21*(1+DH$1),B22&gt;DB$4,(AE21-CA21)*(1+DH$2),AND(B22&lt;=DB$3,B22&lt;=DB$4,B22&lt;=DB$6),(AE21*(1+DH$1))+(AE$4))</f>
        <v>0</v>
      </c>
      <c r="AF22" s="375"/>
      <c r="AG22" s="1">
        <f t="shared" si="5"/>
        <v>0</v>
      </c>
      <c r="AH22" s="2">
        <f t="shared" si="20"/>
        <v>0</v>
      </c>
      <c r="AI22" s="14">
        <f t="shared" si="6"/>
        <v>0</v>
      </c>
      <c r="AK22" s="1">
        <f t="shared" si="21"/>
        <v>0</v>
      </c>
      <c r="AL22" s="14">
        <f t="shared" si="22"/>
        <v>0</v>
      </c>
      <c r="AM22" s="14" t="str">
        <f t="shared" si="23"/>
        <v/>
      </c>
      <c r="AO22" s="15">
        <f t="shared" si="7"/>
        <v>0</v>
      </c>
      <c r="AP22" s="1">
        <f>IF(AND(B22&gt;=$DB$6,A22&gt;=$DA$6),0,AP21*(1+Lookups!C$12))</f>
        <v>0</v>
      </c>
      <c r="AQ22" s="1">
        <f>IF(AND(B22&gt;=$DB$6,A22&gt;=$DA$6),0,AQ21*(1+Lookups!C$12))</f>
        <v>0</v>
      </c>
      <c r="AS22" s="1" cm="1">
        <f t="array" ref="AS22">_xlfn.IFS(OR(AS$6="",AND(A22&gt;=DA$6,B22&gt;=DB$6),AND(A22&lt;DA$4,B22&lt;DB$4)),0,AND(A22=DA$4,DA$4&lt;=DB$4),AS$6,AND(B22=DB$4,DA$4&gt;=DB$4),AS$6,OR(A22&gt;DA$4,B22&gt;DB$4),AS21*(1+Setup!C$103))</f>
        <v>0</v>
      </c>
      <c r="AT22" s="1" cm="1">
        <f t="array" ref="AT22">_xlfn.IFS(OR(AT$6="",AND(A22&gt;=DA$6,B22&gt;=DB$6),AND(A22&lt;DA$4,B22&lt;DB$4)),0,AND(A22=DA$4,DA$4&lt;=DB$4),AT$6,AND(B22=DB$4,DA$4&gt;=DB$4),AT$6,OR(A22&gt;DA$4,B22&gt;DB$4),AT21*(1+Setup!C$103))</f>
        <v>0</v>
      </c>
      <c r="AU22" s="1" cm="1">
        <f t="array" ref="AU22">_xlfn.IFS(OR(AU$6="",AND(A22&gt;=DA$6,B22&gt;=DB$6),AND(A22&lt;DA$4,B22&lt;DB$4)),0,AND(A22=DA$4,DA$4&lt;=DB$4),AU$6,AND(B22=DB$4,DA$4&gt;=DB$4),AU$6,OR(A22&gt;DA$4,B22&gt;DB$4),AU21*(1+Setup!C$103))</f>
        <v>0</v>
      </c>
      <c r="AV22" s="1" cm="1">
        <f t="array" ref="AV22">_xlfn.IFS(OR(AV$6="",AND(A22&gt;=DA$6,B22&gt;=DB$6),AND(A22&lt;DA$4,B22&lt;DB$4)),0,AND(A22=DA$4,DA$4&lt;=DB$4),AV$6,AND(B22=DB$4,DA$4&gt;=DB$4),AV$6,OR(A22&gt;DA$4,B22&gt;DB$4),AV21*(1+Setup!C$103))</f>
        <v>0</v>
      </c>
      <c r="AW22" s="1">
        <f t="shared" si="8"/>
        <v>0</v>
      </c>
      <c r="AY22" s="1" cm="1">
        <f t="array" ref="AY22">_xlfn.IFS(OR(AND(A22&gt;=DA$6,B22&gt;=DB$6),A22&lt;DA$5),0,AND(A22=DA$5,YEAR(C22)&gt;=Lookups!D$89),VLOOKUP(A22,Lookups!B$94:F$102,3),AND(A22=DA$5,YEAR(C22)&lt;Lookups!D$89),VLOOKUP(A22,Lookups!B$94:F$102,2),AND(A22&gt;DA$5,YEAR(C22)=Lookups!D$89),(AY21*Lookups!D$90)*(1+Lookups!C$20),AND(A22&gt;DA$5,YEAR(C22)&lt;&gt;Lookups!D$89),AY21*(1+Lookups!C$20))</f>
        <v>0</v>
      </c>
      <c r="AZ22" s="1" cm="1">
        <f t="array" ref="AZ22">_xlfn.IFS(OR(ISBLANK(Setup!K$91),Setup!K$91=0,AND(A22&gt;=DA$6,B22&gt;=DB$6),B22&lt;DB$5),0,AND(B22=DB$5,YEAR(C22)&gt;=Lookups!D$89),VLOOKUP(B22,Lookups!B$94:F$102,5),AND(B22=DB$5,YEAR(C22)&lt;Lookups!D$89),VLOOKUP(B22,Lookups!B$94:F$102,4),AND(B22&gt;DB$5,YEAR(C22)=Lookups!D$89),(AZ21*Lookups!D$90)*(1+Lookups!C$20),AND(B22&gt;DB$5,YEAR(C22)&lt;&gt;Lookups!D$89),AZ21*(1+Lookups!C$20))</f>
        <v>0</v>
      </c>
      <c r="BA22" s="65">
        <f>IF(OR(AY22&gt;0,AZ22&gt;0),(AY22+AZ22)*Lookups!D$120,0)</f>
        <v>0</v>
      </c>
      <c r="BB22" s="1" cm="1">
        <f t="array" ref="BB22">_xlfn.IFS(AND(A22&lt;DA$4,B22&lt;DB$4),0,OR(_xlfn.XOR(A22&gt;DA$6,B22&gt;DB$6),_xlfn.XOR(A22&gt;=DA$4,B22&gt;=DB$4)),IF(AP22-SUM(AW22,AY22:AZ22)&gt;0,AP22-SUM(AW22,AY22:AZ22),0),AQ22-SUM(AW22,AY22:AZ22)&gt;0, AQ22-SUM(AW22,AY22:AZ22),AQ22-SUM(AW22,AY22:AZ22)&lt;=0,0)</f>
        <v>0</v>
      </c>
      <c r="BD22" s="1" cm="1">
        <f t="array" ref="BD22">_xlfn.IFS(AND(A22&gt;=DA$6,B22&gt;=DB$6),0,AND(A22&gt;=DA$6,B22&gt;=Lookups!C$35),D22/VLOOKUP(B22,Lookups!C$37:D$67,2),A22&lt;Lookups!$C$35,0,A22&gt;=Lookups!C$35,D22/VLOOKUP(A22,Lookups!C$37:D$67,2))</f>
        <v>0</v>
      </c>
      <c r="BE22" s="1" cm="1">
        <f t="array" ref="BE22">_xlfn.IFS(AND(A22&gt;=DA$6,B22&gt;=DB$6),0,AND(B22&gt;=DB$6,A22&gt;=Lookups!C$35),F22/VLOOKUP(A22,Lookups!C$37:D$67,2),B22&lt;Lookups!$C$35,0,B22&gt;=Lookups!C$35,F22/VLOOKUP(B22,Lookups!C$37:D$67,2))</f>
        <v>0</v>
      </c>
      <c r="BF22" s="1" cm="1">
        <f t="array" ref="BF22">_xlfn.IFS($BB22&lt;=0,0,AND(A22&gt;=DA$4,B22&gt;=DB$4,$BB22*I22&lt;(BD22+BE22)),0,AND(A22&gt;=DA$4,B22&gt;=DB$4,H22&gt;=(BB22*I22)-BD22-BE22),(BB22*I22)-BD22-BE22,AND(A22&gt;=DA$4,B22&gt;=DB$4,H22&lt;(BB22*I22)-BD22-BE22),H22,AND(A22&gt;=DA$4,$BB22*I22&lt;(BD22)),0,AND(A22&gt;=DA$4,H22&gt;=(BB22*I22)-BD22),(BB22*I22)-BD22,AND(A22&gt;=DA$4,H22&lt;(BB22*I22)-BD22),H22,AND(B22&gt;=DB$4,$BB22*I22&lt;(BE22)),0,AND(B22&gt;=DB$4,H22&gt;=(BB22*I22)-BE22),(BB22*I22)-BE22,AND(B22&gt;=DB$4,H22&lt;(BB22*I22)-BE22),H22)</f>
        <v>0</v>
      </c>
      <c r="BG22" s="1">
        <f t="shared" si="9"/>
        <v>0</v>
      </c>
      <c r="BH22" s="1" cm="1">
        <f t="array" ref="BH22">_xlfn.IFS(OR(D22=0,A22&lt;DA$4),0,AND(A22&gt;=DA$4,B22&gt;=DB$4,D22&lt;BD22+($BF22*(D22/$H22))+(-$BP22*(D22/$H22))),D22,AND(A22&gt;=DA$4,B22&gt;=DB$4,$BB22&gt;$BG22),BD22+($BF22*(D22/$H22))+(-$BP22*(D22/$H22)),AND(A22&gt;=DA$4,B22&gt;=DB$4,OR(A22&gt;DA$6, B22&gt;DB$6),$AP22-SUM($AW22,$AY22:$AZ22)&lt;0),BD22+($BF22*(D22/$H22))+(-$BP22*(D22/$H22))+(BP22*(D22/$H22)),AND(A22&gt;=DA$4,B22&gt;=DB$4,$AQ22-SUM($AW22,$AY22:$AZ22)&lt;0),BD22+($BF22*(D22/$H22))+(-$BP22*(D22/$H22))+(BP22*(D22/$H22)),AND(A22&gt;=DA$4,D22&lt;BD22+$BF22-$BP22),D22,AND(A22&gt;=DA$4,$AP22-SUM($AW22,$AY22:$AZ22)&lt;0),BD22+($BF22*(D22/$H22))+(-$BP22*(D22/$H22))+(BP22*(D22/$H22)),A22&gt;=DA$4,BD22+$BF22-$BP22)</f>
        <v>0</v>
      </c>
      <c r="BI22" s="1" cm="1">
        <f t="array" ref="BI22">_xlfn.IFS(OR(F22=0,B22&lt;DB$4),0,AND(A22&gt;=DA$4,B22&gt;=DB$4,F22&lt;BE22+($BF22*(F22/$H22))+(-$BP22*(F22/$H22))),F22,AND(A22&gt;=DA$4,B22&gt;=DB$4,$BB22&gt;$BG22),BE22+($BF22*(F22/$H22))+(-$BP22*(F22/$H22)),AND(A22&gt;=DA$4,B22&gt;=DB$4,OR(A22&gt;DA$6, B22&gt;DB$6),$AP22-SUM($AW22,$AY22:$AZ22)&lt;0),BE22+($BF22*(F22/$H22))+(-$BP22*(F22/$H22))+(BP22*(F22/$H22)),AND(A22&gt;=DA$4,B22&gt;=DB$4,$AQ22-SUM($AW22,$AY22:$AZ22)&lt;0),BE22+($BF22*(F22/$H22))+(-$BP22*(F22/$H22))+(BP22*(F22/$H22)),AND(B22&gt;=DB$4,F22&lt;BE22+$BF22-$BP22),F22,AND(B22&gt;=DB$4,$AP22-SUM($AW22,$AY22:$AZ22)&lt;0),BE22+($BF22*(F22/$H22))+(-$BP22*(F22/$H22))+(BP22*(F22/$H22)),B22&gt;=DB$4,BE22+$BF22-$BP22)</f>
        <v>0</v>
      </c>
      <c r="BJ22" s="64" cm="1">
        <f t="array" ref="BJ22">IF(AW22+BA22+BG22&gt;0, AW22+BA22+BG22-_xlfn.IFS(AND(A22&gt;=65,B22&gt;=65),VLOOKUP(Setup!I$4,Lookups!C$133:F$136,4),OR(A22&gt;=65,B22&gt;=65),VLOOKUP(Setup!I$4,Lookups!C$133:E$136,3),AND(A22&lt;65,B22&lt;65),VLOOKUP(Setup!I$4,Lookups!C$133:D$136,2)),0)</f>
        <v>0</v>
      </c>
      <c r="BK22" s="1" cm="1">
        <f t="array" ref="BK22">IF(BJ22&gt;0,_xlfn.IFS(Setup!I$4=Lookups!D$109,-_xlfn.IFS($BJ22&gt;=Lookups!D$157, Lookups!F$157+($BJ22-Lookups!D$157)*Lookups!G$157,$BJ22&gt;=Lookups!D$156, Lookups!F$156+($BJ22-Lookups!D$156)*Lookups!G$156,$BJ22&gt;=Lookups!D$155, Lookups!F$155+($BJ22-Lookups!D$155)*Lookups!G$155,$BJ22&gt;=Lookups!D$154, Lookups!F$154+($BJ22-Lookups!D$154)*Lookups!G$154,$BJ22&gt;=Lookups!D$153, Lookups!F$153+($BJ22-Lookups!D$153)*Lookups!G$153,$BJ22&gt;=Lookups!D$152, Lookups!F$152+($BJ22-Lookups!D$152)*Lookups!G$152,$BJ22&lt;Lookups!D$152,$BJ22*Lookups!G$151),Setup!I$4=Lookups!D$110,-_xlfn.IFS($BJ22&gt;=Lookups!D$167, Lookups!F$167+($BJ22-Lookups!D$167)*Lookups!G$167,$BJ22&gt;=Lookups!D$166, Lookups!F$166+($BJ22-Lookups!D$166)*Lookups!G$166,$BJ22&gt;=Lookups!D$165, Lookups!F$165+($BJ22-Lookups!D$165)*Lookups!G$165,$BJ22&gt;=Lookups!D$164, Lookups!F$164+($BJ22-Lookups!D$164)*Lookups!G$164,$BJ22&gt;=Lookups!D$163, Lookups!F$163+($BJ22-Lookups!D$163)*Lookups!G$163,$BJ22&gt;=Lookups!D$162, Lookups!F$162+($BJ22-Lookups!D$162)*Lookups!G$162,$BJ22&lt;Lookups!D$162,$BJ22*Lookups!G$161),Setup!I$4=Lookups!D$111,-_xlfn.IFS($BJ22&gt;=Lookups!D$177, Lookups!F$177+($BJ22-Lookups!D$177)*Lookups!G$177,$BJ22&gt;=Lookups!D$176, Lookups!F$176+($BJ22-Lookups!D$176)*Lookups!G$176,$BJ22&gt;=Lookups!D$175, Lookups!F$175+($BJ22-Lookups!D$175)*Lookups!G$175,$BJ22&gt;=Lookups!D$174, Lookups!F$174+($BJ22-Lookups!D$174)*Lookups!G$174,$BJ22&gt;=Lookups!D$173, Lookups!F$173+($BJ22-Lookups!D$173)*Lookups!G$173,$BJ22&gt;=Lookups!D$172, Lookups!F$172+($BJ22-Lookups!D$172)*Lookups!G$172,$BJ22&lt;Lookups!D$172,$BJ22*Lookups!G$171), Setup!I$4=Lookups!D$112,-_xlfn.IFS($BJ22&gt;=Lookups!D$187, Lookups!F$187+($BJ22-Lookups!D$187)*Lookups!G$187,$BJ22&gt;=Lookups!D$186, Lookups!F$186+($BJ22-Lookups!D$186)*Lookups!G$186,$BJ22&gt;=Lookups!D$185, Lookups!F$185+($BJ22-Lookups!D$185)*Lookups!G$185,$BJ22&gt;=Lookups!D$184, Lookups!F$184+($BJ22-Lookups!D$184)*Lookups!G$184,$BJ22&gt;=Lookups!D$183, Lookups!F$183+($BJ22-Lookups!D$183)*Lookups!G$183,$BJ22&gt;=Lookups!D$182, Lookups!F$182+($BJ22-Lookups!D$182)*Lookups!G$182,$BJ22&lt;Lookups!D$182,$BJ22*Lookups!G$181)),0)</f>
        <v>0</v>
      </c>
      <c r="BL22" s="18">
        <f t="shared" si="10"/>
        <v>0</v>
      </c>
      <c r="BM22" s="134">
        <f t="shared" si="24"/>
        <v>0</v>
      </c>
      <c r="BN22" s="134" cm="1">
        <f t="array" aca="1" ref="BN22" ca="1">INDIRECT(Setup!I$6&amp;"!"&amp;"A"&amp;ROW())</f>
        <v>0</v>
      </c>
      <c r="BO22" s="134">
        <f t="shared" si="25"/>
        <v>0</v>
      </c>
      <c r="BP22" s="1">
        <f t="shared" si="11"/>
        <v>0</v>
      </c>
      <c r="BQ22" s="1">
        <f t="shared" si="26"/>
        <v>0</v>
      </c>
      <c r="BS22" s="1">
        <f t="shared" si="27"/>
        <v>0</v>
      </c>
      <c r="BT22" s="1" cm="1">
        <f t="array" ref="BT22">-IF(BS22&gt;0,_xlfn.IFS((AW22+BA22+BG22+BS22)&gt;=VLOOKUP(Setup!I$4,Lookups!C$210:E$213,3),BS22*Lookups!D$203,(AW22+BA22+BG22+BS22)&gt;=VLOOKUP(Setup!I$4,Lookups!C$210:E$213,2),BS22*Lookups!D$197,(AW22+BA22+BG22+BS22)&lt;VLOOKUP(Setup!I$4,Lookups!C$210:E$213,2),0),0)</f>
        <v>0</v>
      </c>
      <c r="BU22" s="18">
        <f t="shared" si="28"/>
        <v>0</v>
      </c>
      <c r="BV22" s="1">
        <f t="shared" si="29"/>
        <v>0</v>
      </c>
      <c r="BW22" s="1" cm="1">
        <f t="array" aca="1" ref="BW22" ca="1">INDIRECT(Setup!I$6&amp;"!"&amp;"A"&amp;ROW()+100)</f>
        <v>0</v>
      </c>
      <c r="BX22" s="1">
        <f t="shared" ca="1" si="15"/>
        <v>0</v>
      </c>
      <c r="BY22" s="1">
        <f t="shared" ca="1" si="16"/>
        <v>0</v>
      </c>
      <c r="CA22" s="1">
        <f t="shared" si="34"/>
        <v>0</v>
      </c>
      <c r="CC22" s="1" cm="1">
        <f t="array" ref="CC22">_xlfn.IFS(AND(A22&lt;$DA$4,B22&lt;$DB$4),0,AND(AND(A22&gt;=$DA$4,B22&gt;=$DB$4),AND(A22&lt;=$DA$6,B22&lt;=$DB$6),AND(BH22=0,BI22=0)),SUM(AW22,AY22:AZ22,BD22:BF22,BP22,BS22,CA22)-AQ22,AND(AND(A22&gt;=$DA$4,B22&gt;=$DB$4),AND(A22&lt;=$DA$6,B22&lt;=$DB$6)),SUM(AW22,AY22:AZ22,BD22:BF22,BS22,CA22)-AQ22,AND(OR(A22&gt;=$DA$4,B22&gt;=$DB$4),AND(BH22=0,BI22=0)),SUM(AW22,AY22:AZ22,BD22:BF22,BP22,BS22,CA22)-AP22,OR(A22&gt;=$DA$4,B22&gt;=$DB$4),SUM(AW22,AY22:AZ22,BD22:BF22,BS22,CA22)-AP22)</f>
        <v>0</v>
      </c>
      <c r="CD22" s="142" t="str">
        <f t="shared" si="30"/>
        <v/>
      </c>
    </row>
    <row r="23" spans="1:83" x14ac:dyDescent="0.3">
      <c r="A23" s="354">
        <f t="shared" si="31"/>
        <v>16</v>
      </c>
      <c r="B23" s="354">
        <f t="shared" si="32"/>
        <v>16</v>
      </c>
      <c r="C23" s="359">
        <f t="shared" si="33"/>
        <v>5845</v>
      </c>
      <c r="D23" s="326" cm="1">
        <f t="array" ref="D23">_xlfn.IFS(AND(A23&gt;DA$6,B23&gt;DB$6),0,AND(A23&gt;DA$3,A23&lt;=DA$4),D22*(1+DH$1),OR(A23&gt;DA$6,A23&gt;DA$4),(D22-BH22)*(1+DH$2),A23&lt;=DA$4,(D22*(1+DH$1))+(D$4))</f>
        <v>0</v>
      </c>
      <c r="E23" s="375"/>
      <c r="F23" s="326" cm="1">
        <f t="array" ref="F23">_xlfn.IFS(AND(A23&gt;DA$6,B23&gt;DB$6),0,AND(B23&gt;DB$3,B23&lt;=DB$4),F22*(1+DH$1),OR(B23&gt;DB$6,B23&gt;DB$4),(F22-BI22)*(1+DH$2),B23&lt;=DB$4,(F22*(1+DH$1))+(F$4))</f>
        <v>0</v>
      </c>
      <c r="G23" s="375"/>
      <c r="H23" s="1">
        <f t="shared" si="17"/>
        <v>0</v>
      </c>
      <c r="I23" s="2">
        <f t="shared" si="2"/>
        <v>0</v>
      </c>
      <c r="J23" s="14">
        <f t="shared" si="35"/>
        <v>0</v>
      </c>
      <c r="L23" s="402" cm="1">
        <f t="array" ref="L23">_xlfn.IFS(AND(A23&gt;DA$6,B23&gt;DB$6),0,A23&lt;DA$6,0,A23=DA$6,L$4,AND(A23&gt;DA$6,B23&lt;=DB$4),L22*(1+DH$1),AND(A23&gt;DA$6,B23&gt;DB$4),IF(Y22=0,0,(L22-((L22/Y22)*BY22))*(1+DH$2)))</f>
        <v>0</v>
      </c>
      <c r="M23" s="402" cm="1">
        <f t="array" ref="M23">_xlfn.IFS(AND(A23&gt;DA$6,B23&gt;DB$6),0,B23&lt;DB$6,0,B23=DB$6,M$4,AND(B23&gt;DB$6,A23&lt;=DA$4),M22*(1+DH$1),AND(A23&gt;DA$4,B23&gt;DB$6),IF(Y22=0,0,(M22-((M22/Y22)*BY22))*(1+DH$2)))</f>
        <v>0</v>
      </c>
      <c r="N23" s="327"/>
      <c r="O23" s="327" cm="1">
        <f t="array" ref="O23">_xlfn.IFS(OR(ISBLANK(Setup!C$63),Setup!C$63&gt;YEAR(C23),AND(A23&gt;DA$6,B23&gt;DB$6),ISBLANK(Y22)),0,Setup!C$63=YEAR(C23),Setup!C$62,AND(OR(A23&lt;=DA$4,B23&lt;=DB$4),Setup!C$63&lt;YEAR(C23)),O22*(1+DH$1),AND(A23&gt;DA$4,B23&gt;DB$4,Setup!C$63&lt;YEAR(C23)),IF(Y22=0,0,(O22-((O22/Y22)*BY22))*(1+DH$2)))</f>
        <v>0</v>
      </c>
      <c r="P23" s="327" cm="1">
        <f t="array" ref="P23">_xlfn.IFS(OR(ISBLANK(Setup!C$67),Setup!C$67&gt;YEAR(C23),AND(A23&gt;DA$6,B23&gt;DB$6)),0,Setup!C$67=YEAR(C23),Setup!C$66,AND(OR(A23&lt;=DA$4,B23&lt;=DB$4),Setup!C$67&lt;YEAR(C23)),P22*(1+DH$1),AND(A23&gt;DA$4,B23&gt;DB$4,Setup!C$67&lt;YEAR(C23)),IF(Y22=0,0,(P22-((P22/Y22)*BY22))*(1+DH$2)))</f>
        <v>0</v>
      </c>
      <c r="Q23" s="327" cm="1">
        <f t="array" ref="Q23">_xlfn.IFS(OR(ISBLANK(Setup!C$71),Setup!C$71&gt;YEAR(C23),AND(A23&gt;DA$6,B23&gt;DB$6)),0,Setup!C$71=YEAR(C23),Setup!C$70,AND(OR(A23&lt;=DA$4,B23&lt;=DB$4),Setup!C$71&lt;YEAR(C23)),Q22*(1+DH$1),AND(A23&gt;DA$4,B23&gt;DB$4,Setup!C$71&lt;YEAR(C23)),IF(Y22=0,0,(Q22-((Q22/Y22)*BY22))*(1+DH$2)))</f>
        <v>0</v>
      </c>
      <c r="R23" s="327" cm="1">
        <f t="array" ref="R23">_xlfn.IFS(OR(ISBLANK(Setup!C$75),Setup!C$75&gt;YEAR(C23),AND(A23&gt;DA$6,B23&gt;DB$6)),0,Setup!C$75=YEAR(C23),Setup!C$74,AND(OR(A23&lt;=DA$4,B23&lt;=DB$4),Setup!C$75&lt;YEAR(C23)),R22*(1+DH$1),AND(A23&gt;DA$4,B23&gt;DB$4,Setup!C$75&lt;YEAR(C23)),IF(Y22=0,0,(R22-((R22/Y22)*BY22))*(1+DH$2)))</f>
        <v>0</v>
      </c>
      <c r="S23" s="327"/>
      <c r="T23" s="326" cm="1">
        <f t="array" ref="T23">_xlfn.IFS(AND($A23&gt;$DA$6,$B23&gt;$DB$6),0,AND($W$2=$DA$2,$A23&gt;$DA$4),IF($Y22=0,0,(T22-((T22/$Y22)*$BY22))*(1+$DH$2)),AND($W$2=$DB$2,$B23&gt;$DB$4),IF($Y22=0,0,(T22-((T22/$Y22)*$BY22))*(1+$DH$2)),AND($W$2=$DA$2,OR($A23&gt;$DA$3,$A23&gt;$DA$6)),(T22*(1+$DH$1)),AND($W$2=$DB$2,OR($B23&gt;$DB$3,$B23&gt;$DB$6)),(T22*(1+$DH$1)),AND($W$2=$DA$2,$A23&lt;=$DA$3,$A23&lt;=$DA$4,$A23&lt;=$DA$5),(T22*(1+$DH$1))+(T$4),AND($W$2=$DB$2,$B23&lt;=$DB$3,$B23&lt;=$DB$4,$B23&lt;=$DB$5),(T22*(1+$DH$1))+(T$4))</f>
        <v>0</v>
      </c>
      <c r="U23" s="326" cm="1">
        <f t="array" ref="U23">_xlfn.IFS(AND($A23&gt;$DA$6,$B23&gt;$DB$6),0,AND($W$2=$DA$2,$A23&gt;$DA$4),IF($Y22=0,0,(U22-((U22/$Y22)*$BY22))*(1+$DH$2)),AND($W$2=$DB$2,$B23&gt;$DB$4),IF($Y22=0,0,(U22-((U22/$Y22)*$BY22))*(1+$DH$2)),AND($W$2=$DA$2,OR($A23&gt;$DA$3,$A23&gt;$DA$6)),(U22*(1+$DH$1)),AND($W$2=$DB$2,OR($B23&gt;$DB$3,$B23&gt;$DB$6)),(U22*(1+$DH$1)),AND($W$2=$DA$2,$A23&lt;=$DA$3,$A23&lt;=$DA$4,$A23&lt;=$DA$5),(U22*(1+$DH$1))+(U$4),AND($W$2=$DB$2,$B23&lt;=$DB$3,$B23&lt;=$DB$4,$B23&lt;=$DB$5),(U22*(1+$DH$1))+(U$4))</f>
        <v>0</v>
      </c>
      <c r="V23" s="326" cm="1">
        <f t="array" ref="V23">_xlfn.IFS(AND($A23&gt;$DA$6,$B23&gt;$DB$6),0,AND($W$2=$DA$2,$A23&gt;$DA$4),IF($Y22=0,0,(V22-((V22/$Y22)*$BY22))*(1+$DH$2)),AND($W$2=$DB$2,$B23&gt;$DB$4),IF($Y22=0,0,(V22-((V22/$Y22)*$BY22))*(1+$DH$2)),AND($W$2=$DA$2,OR($A23&gt;$DA$3,$A23&gt;$DA$6)),(V22*(1+$DH$1)),AND($W$2=$DB$2,OR($B23&gt;$DB$3,$B23&gt;$DB$6)),(V22*(1+$DH$1)),AND($W$2=$DA$2,$A23&lt;=$DA$3,$A23&lt;=$DA$4,$A23&lt;=$DA$5),(V22*(1+$DH$1))+(V$4),AND($W$2=$DB$2,$B23&lt;=$DB$3,$B23&lt;=$DB$4,$B23&lt;=$DB$5),(V22*(1+$DH$1))+(V$4))</f>
        <v>0</v>
      </c>
      <c r="W23" s="326" cm="1">
        <f t="array" ref="W23">_xlfn.IFS(AND($A23&gt;$DA$6,$B23&gt;$DB$6),0,AND($W$2=$DA$2,$A23&gt;$DA$4),IF($Y22=0,0,(W22-((W22/$Y22)*$BY22))*(1+$DH$2)),AND($W$2=$DB$2,$B23&gt;$DB$4),IF($Y22=0,0,(W22-((W22/$Y22)*$BY22))*(1+$DH$2)),AND($W$2=$DA$2,OR($A23&gt;$DA$3,$A23&gt;$DA$6)),(W22*(1+$DH$1)),AND($W$2=$DB$2,OR($B23&gt;$DB$3,$B23&gt;$DB$6)),(W22*(1+$DH$1)),AND($W$2=$DA$2,$A23&lt;=$DA$3,$A23&lt;=$DA$4,$A23&lt;=$DA$5),(W22*(1+$DH$1))+(W$4),AND($W$2=$DB$2,$B23&lt;=$DB$3,$B23&lt;=$DB$4,$B23&lt;=$DB$5),(W22*(1+$DH$1))+(W$4))</f>
        <v>0</v>
      </c>
      <c r="Y23" s="1">
        <f t="shared" si="18"/>
        <v>0</v>
      </c>
      <c r="Z23" s="2">
        <f t="shared" si="19"/>
        <v>0</v>
      </c>
      <c r="AA23" s="375"/>
      <c r="AC23" s="326" cm="1">
        <f t="array" ref="AC23">_xlfn.IFS(AND(A23&gt;DA$6,B23&gt;DB$6),0,AND(A23&gt;DA$4,B23&gt;DB$4),IF(AG22=0,0,(AC22-((AC22/AG22)*CA22))*(1+DH$2)),OR(A23&gt;DA$3,A23&gt;DA$6),AC22*(1+DH$1),A23&gt;DA$4,(AC22-CA22)*(1+DH$2),AND(A23&lt;=DA$3,A23&lt;=DA$4,A23&lt;=DA$6),(AC22*(1+DH$1))+(AC$4))</f>
        <v>0</v>
      </c>
      <c r="AD23" s="375"/>
      <c r="AE23" s="326" cm="1">
        <f t="array" ref="AE23">_xlfn.IFS(AND(A23&gt;DA$6,B23&gt;DB$6),0,AND(A23&gt;DA$4,B23&gt;DB$4),IF(AG22=0,0,(AE22-((AE22/AG22)*CA22))*(1+DH$2)),OR(B23&gt;DB$3,B23&gt;DB$6),AE22*(1+DH$1),B23&gt;DB$4,(AE22-CA22)*(1+DH$2),AND(B23&lt;=DB$3,B23&lt;=DB$4,B23&lt;=DB$6),(AE22*(1+DH$1))+(AE$4))</f>
        <v>0</v>
      </c>
      <c r="AF23" s="375"/>
      <c r="AG23" s="1">
        <f t="shared" si="5"/>
        <v>0</v>
      </c>
      <c r="AH23" s="2">
        <f t="shared" si="20"/>
        <v>0</v>
      </c>
      <c r="AI23" s="14">
        <f t="shared" si="6"/>
        <v>0</v>
      </c>
      <c r="AK23" s="1">
        <f t="shared" si="21"/>
        <v>0</v>
      </c>
      <c r="AL23" s="14">
        <f t="shared" si="22"/>
        <v>0</v>
      </c>
      <c r="AM23" s="14" t="str">
        <f t="shared" si="23"/>
        <v/>
      </c>
      <c r="AO23" s="15">
        <f t="shared" si="7"/>
        <v>0</v>
      </c>
      <c r="AP23" s="1">
        <f>IF(AND(B23&gt;=$DB$6,A23&gt;=$DA$6),0,AP22*(1+Lookups!C$12))</f>
        <v>0</v>
      </c>
      <c r="AQ23" s="1">
        <f>IF(AND(B23&gt;=$DB$6,A23&gt;=$DA$6),0,AQ22*(1+Lookups!C$12))</f>
        <v>0</v>
      </c>
      <c r="AS23" s="1" cm="1">
        <f t="array" ref="AS23">_xlfn.IFS(OR(AS$6="",AND(A23&gt;=DA$6,B23&gt;=DB$6),AND(A23&lt;DA$4,B23&lt;DB$4)),0,AND(A23=DA$4,DA$4&lt;=DB$4),AS$6,AND(B23=DB$4,DA$4&gt;=DB$4),AS$6,OR(A23&gt;DA$4,B23&gt;DB$4),AS22*(1+Setup!C$103))</f>
        <v>0</v>
      </c>
      <c r="AT23" s="1" cm="1">
        <f t="array" ref="AT23">_xlfn.IFS(OR(AT$6="",AND(A23&gt;=DA$6,B23&gt;=DB$6),AND(A23&lt;DA$4,B23&lt;DB$4)),0,AND(A23=DA$4,DA$4&lt;=DB$4),AT$6,AND(B23=DB$4,DA$4&gt;=DB$4),AT$6,OR(A23&gt;DA$4,B23&gt;DB$4),AT22*(1+Setup!C$103))</f>
        <v>0</v>
      </c>
      <c r="AU23" s="1" cm="1">
        <f t="array" ref="AU23">_xlfn.IFS(OR(AU$6="",AND(A23&gt;=DA$6,B23&gt;=DB$6),AND(A23&lt;DA$4,B23&lt;DB$4)),0,AND(A23=DA$4,DA$4&lt;=DB$4),AU$6,AND(B23=DB$4,DA$4&gt;=DB$4),AU$6,OR(A23&gt;DA$4,B23&gt;DB$4),AU22*(1+Setup!C$103))</f>
        <v>0</v>
      </c>
      <c r="AV23" s="1" cm="1">
        <f t="array" ref="AV23">_xlfn.IFS(OR(AV$6="",AND(A23&gt;=DA$6,B23&gt;=DB$6),AND(A23&lt;DA$4,B23&lt;DB$4)),0,AND(A23=DA$4,DA$4&lt;=DB$4),AV$6,AND(B23=DB$4,DA$4&gt;=DB$4),AV$6,OR(A23&gt;DA$4,B23&gt;DB$4),AV22*(1+Setup!C$103))</f>
        <v>0</v>
      </c>
      <c r="AW23" s="1">
        <f t="shared" si="8"/>
        <v>0</v>
      </c>
      <c r="AY23" s="1" cm="1">
        <f t="array" ref="AY23">_xlfn.IFS(OR(AND(A23&gt;=DA$6,B23&gt;=DB$6),A23&lt;DA$5),0,AND(A23=DA$5,YEAR(C23)&gt;=Lookups!D$89),VLOOKUP(A23,Lookups!B$94:F$102,3),AND(A23=DA$5,YEAR(C23)&lt;Lookups!D$89),VLOOKUP(A23,Lookups!B$94:F$102,2),AND(A23&gt;DA$5,YEAR(C23)=Lookups!D$89),(AY22*Lookups!D$90)*(1+Lookups!C$20),AND(A23&gt;DA$5,YEAR(C23)&lt;&gt;Lookups!D$89),AY22*(1+Lookups!C$20))</f>
        <v>0</v>
      </c>
      <c r="AZ23" s="1" cm="1">
        <f t="array" ref="AZ23">_xlfn.IFS(OR(ISBLANK(Setup!K$91),Setup!K$91=0,AND(A23&gt;=DA$6,B23&gt;=DB$6),B23&lt;DB$5),0,AND(B23=DB$5,YEAR(C23)&gt;=Lookups!D$89),VLOOKUP(B23,Lookups!B$94:F$102,5),AND(B23=DB$5,YEAR(C23)&lt;Lookups!D$89),VLOOKUP(B23,Lookups!B$94:F$102,4),AND(B23&gt;DB$5,YEAR(C23)=Lookups!D$89),(AZ22*Lookups!D$90)*(1+Lookups!C$20),AND(B23&gt;DB$5,YEAR(C23)&lt;&gt;Lookups!D$89),AZ22*(1+Lookups!C$20))</f>
        <v>0</v>
      </c>
      <c r="BA23" s="65">
        <f>IF(OR(AY23&gt;0,AZ23&gt;0),(AY23+AZ23)*Lookups!D$120,0)</f>
        <v>0</v>
      </c>
      <c r="BB23" s="1" cm="1">
        <f t="array" ref="BB23">_xlfn.IFS(AND(A23&lt;DA$4,B23&lt;DB$4),0,OR(_xlfn.XOR(A23&gt;DA$6,B23&gt;DB$6),_xlfn.XOR(A23&gt;=DA$4,B23&gt;=DB$4)),IF(AP23-SUM(AW23,AY23:AZ23)&gt;0,AP23-SUM(AW23,AY23:AZ23),0),AQ23-SUM(AW23,AY23:AZ23)&gt;0, AQ23-SUM(AW23,AY23:AZ23),AQ23-SUM(AW23,AY23:AZ23)&lt;=0,0)</f>
        <v>0</v>
      </c>
      <c r="BD23" s="1" cm="1">
        <f t="array" ref="BD23">_xlfn.IFS(AND(A23&gt;=DA$6,B23&gt;=DB$6),0,AND(A23&gt;=DA$6,B23&gt;=Lookups!C$35),D23/VLOOKUP(B23,Lookups!C$37:D$67,2),A23&lt;Lookups!$C$35,0,A23&gt;=Lookups!C$35,D23/VLOOKUP(A23,Lookups!C$37:D$67,2))</f>
        <v>0</v>
      </c>
      <c r="BE23" s="1" cm="1">
        <f t="array" ref="BE23">_xlfn.IFS(AND(A23&gt;=DA$6,B23&gt;=DB$6),0,AND(B23&gt;=DB$6,A23&gt;=Lookups!C$35),F23/VLOOKUP(A23,Lookups!C$37:D$67,2),B23&lt;Lookups!$C$35,0,B23&gt;=Lookups!C$35,F23/VLOOKUP(B23,Lookups!C$37:D$67,2))</f>
        <v>0</v>
      </c>
      <c r="BF23" s="1" cm="1">
        <f t="array" ref="BF23">_xlfn.IFS($BB23&lt;=0,0,AND(A23&gt;=DA$4,B23&gt;=DB$4,$BB23*I23&lt;(BD23+BE23)),0,AND(A23&gt;=DA$4,B23&gt;=DB$4,H23&gt;=(BB23*I23)-BD23-BE23),(BB23*I23)-BD23-BE23,AND(A23&gt;=DA$4,B23&gt;=DB$4,H23&lt;(BB23*I23)-BD23-BE23),H23,AND(A23&gt;=DA$4,$BB23*I23&lt;(BD23)),0,AND(A23&gt;=DA$4,H23&gt;=(BB23*I23)-BD23),(BB23*I23)-BD23,AND(A23&gt;=DA$4,H23&lt;(BB23*I23)-BD23),H23,AND(B23&gt;=DB$4,$BB23*I23&lt;(BE23)),0,AND(B23&gt;=DB$4,H23&gt;=(BB23*I23)-BE23),(BB23*I23)-BE23,AND(B23&gt;=DB$4,H23&lt;(BB23*I23)-BE23),H23)</f>
        <v>0</v>
      </c>
      <c r="BG23" s="1">
        <f t="shared" si="9"/>
        <v>0</v>
      </c>
      <c r="BH23" s="1" cm="1">
        <f t="array" ref="BH23">_xlfn.IFS(OR(D23=0,A23&lt;DA$4),0,AND(A23&gt;=DA$4,B23&gt;=DB$4,D23&lt;BD23+($BF23*(D23/$H23))+(-$BP23*(D23/$H23))),D23,AND(A23&gt;=DA$4,B23&gt;=DB$4,$BB23&gt;$BG23),BD23+($BF23*(D23/$H23))+(-$BP23*(D23/$H23)),AND(A23&gt;=DA$4,B23&gt;=DB$4,OR(A23&gt;DA$6, B23&gt;DB$6),$AP23-SUM($AW23,$AY23:$AZ23)&lt;0),BD23+($BF23*(D23/$H23))+(-$BP23*(D23/$H23))+(BP23*(D23/$H23)),AND(A23&gt;=DA$4,B23&gt;=DB$4,$AQ23-SUM($AW23,$AY23:$AZ23)&lt;0),BD23+($BF23*(D23/$H23))+(-$BP23*(D23/$H23))+(BP23*(D23/$H23)),AND(A23&gt;=DA$4,D23&lt;BD23+$BF23-$BP23),D23,AND(A23&gt;=DA$4,$AP23-SUM($AW23,$AY23:$AZ23)&lt;0),BD23+($BF23*(D23/$H23))+(-$BP23*(D23/$H23))+(BP23*(D23/$H23)),A23&gt;=DA$4,BD23+$BF23-$BP23)</f>
        <v>0</v>
      </c>
      <c r="BI23" s="1" cm="1">
        <f t="array" ref="BI23">_xlfn.IFS(OR(F23=0,B23&lt;DB$4),0,AND(A23&gt;=DA$4,B23&gt;=DB$4,F23&lt;BE23+($BF23*(F23/$H23))+(-$BP23*(F23/$H23))),F23,AND(A23&gt;=DA$4,B23&gt;=DB$4,$BB23&gt;$BG23),BE23+($BF23*(F23/$H23))+(-$BP23*(F23/$H23)),AND(A23&gt;=DA$4,B23&gt;=DB$4,OR(A23&gt;DA$6, B23&gt;DB$6),$AP23-SUM($AW23,$AY23:$AZ23)&lt;0),BE23+($BF23*(F23/$H23))+(-$BP23*(F23/$H23))+(BP23*(F23/$H23)),AND(A23&gt;=DA$4,B23&gt;=DB$4,$AQ23-SUM($AW23,$AY23:$AZ23)&lt;0),BE23+($BF23*(F23/$H23))+(-$BP23*(F23/$H23))+(BP23*(F23/$H23)),AND(B23&gt;=DB$4,F23&lt;BE23+$BF23-$BP23),F23,AND(B23&gt;=DB$4,$AP23-SUM($AW23,$AY23:$AZ23)&lt;0),BE23+($BF23*(F23/$H23))+(-$BP23*(F23/$H23))+(BP23*(F23/$H23)),B23&gt;=DB$4,BE23+$BF23-$BP23)</f>
        <v>0</v>
      </c>
      <c r="BJ23" s="64" cm="1">
        <f t="array" ref="BJ23">IF(AW23+BA23+BG23&gt;0, AW23+BA23+BG23-_xlfn.IFS(AND(A23&gt;=65,B23&gt;=65),VLOOKUP(Setup!I$4,Lookups!C$133:F$136,4),OR(A23&gt;=65,B23&gt;=65),VLOOKUP(Setup!I$4,Lookups!C$133:E$136,3),AND(A23&lt;65,B23&lt;65),VLOOKUP(Setup!I$4,Lookups!C$133:D$136,2)),0)</f>
        <v>0</v>
      </c>
      <c r="BK23" s="1" cm="1">
        <f t="array" ref="BK23">IF(BJ23&gt;0,_xlfn.IFS(Setup!I$4=Lookups!D$109,-_xlfn.IFS($BJ23&gt;=Lookups!D$157, Lookups!F$157+($BJ23-Lookups!D$157)*Lookups!G$157,$BJ23&gt;=Lookups!D$156, Lookups!F$156+($BJ23-Lookups!D$156)*Lookups!G$156,$BJ23&gt;=Lookups!D$155, Lookups!F$155+($BJ23-Lookups!D$155)*Lookups!G$155,$BJ23&gt;=Lookups!D$154, Lookups!F$154+($BJ23-Lookups!D$154)*Lookups!G$154,$BJ23&gt;=Lookups!D$153, Lookups!F$153+($BJ23-Lookups!D$153)*Lookups!G$153,$BJ23&gt;=Lookups!D$152, Lookups!F$152+($BJ23-Lookups!D$152)*Lookups!G$152,$BJ23&lt;Lookups!D$152,$BJ23*Lookups!G$151),Setup!I$4=Lookups!D$110,-_xlfn.IFS($BJ23&gt;=Lookups!D$167, Lookups!F$167+($BJ23-Lookups!D$167)*Lookups!G$167,$BJ23&gt;=Lookups!D$166, Lookups!F$166+($BJ23-Lookups!D$166)*Lookups!G$166,$BJ23&gt;=Lookups!D$165, Lookups!F$165+($BJ23-Lookups!D$165)*Lookups!G$165,$BJ23&gt;=Lookups!D$164, Lookups!F$164+($BJ23-Lookups!D$164)*Lookups!G$164,$BJ23&gt;=Lookups!D$163, Lookups!F$163+($BJ23-Lookups!D$163)*Lookups!G$163,$BJ23&gt;=Lookups!D$162, Lookups!F$162+($BJ23-Lookups!D$162)*Lookups!G$162,$BJ23&lt;Lookups!D$162,$BJ23*Lookups!G$161),Setup!I$4=Lookups!D$111,-_xlfn.IFS($BJ23&gt;=Lookups!D$177, Lookups!F$177+($BJ23-Lookups!D$177)*Lookups!G$177,$BJ23&gt;=Lookups!D$176, Lookups!F$176+($BJ23-Lookups!D$176)*Lookups!G$176,$BJ23&gt;=Lookups!D$175, Lookups!F$175+($BJ23-Lookups!D$175)*Lookups!G$175,$BJ23&gt;=Lookups!D$174, Lookups!F$174+($BJ23-Lookups!D$174)*Lookups!G$174,$BJ23&gt;=Lookups!D$173, Lookups!F$173+($BJ23-Lookups!D$173)*Lookups!G$173,$BJ23&gt;=Lookups!D$172, Lookups!F$172+($BJ23-Lookups!D$172)*Lookups!G$172,$BJ23&lt;Lookups!D$172,$BJ23*Lookups!G$171), Setup!I$4=Lookups!D$112,-_xlfn.IFS($BJ23&gt;=Lookups!D$187, Lookups!F$187+($BJ23-Lookups!D$187)*Lookups!G$187,$BJ23&gt;=Lookups!D$186, Lookups!F$186+($BJ23-Lookups!D$186)*Lookups!G$186,$BJ23&gt;=Lookups!D$185, Lookups!F$185+($BJ23-Lookups!D$185)*Lookups!G$185,$BJ23&gt;=Lookups!D$184, Lookups!F$184+($BJ23-Lookups!D$184)*Lookups!G$184,$BJ23&gt;=Lookups!D$183, Lookups!F$183+($BJ23-Lookups!D$183)*Lookups!G$183,$BJ23&gt;=Lookups!D$182, Lookups!F$182+($BJ23-Lookups!D$182)*Lookups!G$182,$BJ23&lt;Lookups!D$182,$BJ23*Lookups!G$181)),0)</f>
        <v>0</v>
      </c>
      <c r="BL23" s="18">
        <f t="shared" si="10"/>
        <v>0</v>
      </c>
      <c r="BM23" s="134">
        <f t="shared" si="24"/>
        <v>0</v>
      </c>
      <c r="BN23" s="134" cm="1">
        <f t="array" aca="1" ref="BN23" ca="1">INDIRECT(Setup!I$6&amp;"!"&amp;"A"&amp;ROW())</f>
        <v>0</v>
      </c>
      <c r="BO23" s="134">
        <f t="shared" si="25"/>
        <v>0</v>
      </c>
      <c r="BP23" s="1">
        <f t="shared" si="11"/>
        <v>0</v>
      </c>
      <c r="BQ23" s="1">
        <f t="shared" si="26"/>
        <v>0</v>
      </c>
      <c r="BS23" s="1">
        <f t="shared" si="27"/>
        <v>0</v>
      </c>
      <c r="BT23" s="1" cm="1">
        <f t="array" ref="BT23">-IF(BS23&gt;0,_xlfn.IFS((AW23+BA23+BG23+BS23)&gt;=VLOOKUP(Setup!I$4,Lookups!C$210:E$213,3),BS23*Lookups!D$203,(AW23+BA23+BG23+BS23)&gt;=VLOOKUP(Setup!I$4,Lookups!C$210:E$213,2),BS23*Lookups!D$197,(AW23+BA23+BG23+BS23)&lt;VLOOKUP(Setup!I$4,Lookups!C$210:E$213,2),0),0)</f>
        <v>0</v>
      </c>
      <c r="BU23" s="18">
        <f t="shared" si="28"/>
        <v>0</v>
      </c>
      <c r="BV23" s="1">
        <f t="shared" si="29"/>
        <v>0</v>
      </c>
      <c r="BW23" s="1" cm="1">
        <f t="array" aca="1" ref="BW23" ca="1">INDIRECT(Setup!I$6&amp;"!"&amp;"A"&amp;ROW()+100)</f>
        <v>0</v>
      </c>
      <c r="BX23" s="1">
        <f t="shared" ca="1" si="15"/>
        <v>0</v>
      </c>
      <c r="BY23" s="1">
        <f t="shared" ca="1" si="16"/>
        <v>0</v>
      </c>
      <c r="CA23" s="1">
        <f t="shared" si="34"/>
        <v>0</v>
      </c>
      <c r="CC23" s="1" cm="1">
        <f t="array" ref="CC23">_xlfn.IFS(AND(A23&lt;$DA$4,B23&lt;$DB$4),0,AND(AND(A23&gt;=$DA$4,B23&gt;=$DB$4),AND(A23&lt;=$DA$6,B23&lt;=$DB$6),AND(BH23=0,BI23=0)),SUM(AW23,AY23:AZ23,BD23:BF23,BP23,BS23,CA23)-AQ23,AND(AND(A23&gt;=$DA$4,B23&gt;=$DB$4),AND(A23&lt;=$DA$6,B23&lt;=$DB$6)),SUM(AW23,AY23:AZ23,BD23:BF23,BS23,CA23)-AQ23,AND(OR(A23&gt;=$DA$4,B23&gt;=$DB$4),AND(BH23=0,BI23=0)),SUM(AW23,AY23:AZ23,BD23:BF23,BP23,BS23,CA23)-AP23,OR(A23&gt;=$DA$4,B23&gt;=$DB$4),SUM(AW23,AY23:AZ23,BD23:BF23,BS23,CA23)-AP23)</f>
        <v>0</v>
      </c>
      <c r="CD23" s="142" t="str">
        <f t="shared" si="30"/>
        <v/>
      </c>
    </row>
    <row r="24" spans="1:83" x14ac:dyDescent="0.3">
      <c r="A24" s="354">
        <f t="shared" si="31"/>
        <v>17</v>
      </c>
      <c r="B24" s="354">
        <f t="shared" si="32"/>
        <v>17</v>
      </c>
      <c r="C24" s="359">
        <f t="shared" si="33"/>
        <v>6211</v>
      </c>
      <c r="D24" s="326" cm="1">
        <f t="array" ref="D24">_xlfn.IFS(AND(A24&gt;DA$6,B24&gt;DB$6),0,AND(A24&gt;DA$3,A24&lt;=DA$4),D23*(1+DH$1),OR(A24&gt;DA$6,A24&gt;DA$4),(D23-BH23)*(1+DH$2),A24&lt;=DA$4,(D23*(1+DH$1))+(D$4))</f>
        <v>0</v>
      </c>
      <c r="E24" s="375"/>
      <c r="F24" s="326" cm="1">
        <f t="array" ref="F24">_xlfn.IFS(AND(A24&gt;DA$6,B24&gt;DB$6),0,AND(B24&gt;DB$3,B24&lt;=DB$4),F23*(1+DH$1),OR(B24&gt;DB$6,B24&gt;DB$4),(F23-BI23)*(1+DH$2),B24&lt;=DB$4,(F23*(1+DH$1))+(F$4))</f>
        <v>0</v>
      </c>
      <c r="G24" s="375"/>
      <c r="H24" s="1">
        <f t="shared" si="17"/>
        <v>0</v>
      </c>
      <c r="I24" s="2">
        <f t="shared" si="2"/>
        <v>0</v>
      </c>
      <c r="J24" s="14">
        <f t="shared" si="35"/>
        <v>0</v>
      </c>
      <c r="L24" s="402" cm="1">
        <f t="array" ref="L24">_xlfn.IFS(AND(A24&gt;DA$6,B24&gt;DB$6),0,A24&lt;DA$6,0,A24=DA$6,L$4,AND(A24&gt;DA$6,B24&lt;=DB$4),L23*(1+DH$1),AND(A24&gt;DA$6,B24&gt;DB$4),IF(Y23=0,0,(L23-((L23/Y23)*BY23))*(1+DH$2)))</f>
        <v>0</v>
      </c>
      <c r="M24" s="402" cm="1">
        <f t="array" ref="M24">_xlfn.IFS(AND(A24&gt;DA$6,B24&gt;DB$6),0,B24&lt;DB$6,0,B24=DB$6,M$4,AND(B24&gt;DB$6,A24&lt;=DA$4),M23*(1+DH$1),AND(A24&gt;DA$4,B24&gt;DB$6),IF(Y23=0,0,(M23-((M23/Y23)*BY23))*(1+DH$2)))</f>
        <v>0</v>
      </c>
      <c r="N24" s="327"/>
      <c r="O24" s="327" cm="1">
        <f t="array" ref="O24">_xlfn.IFS(OR(ISBLANK(Setup!C$63),Setup!C$63&gt;YEAR(C24),AND(A24&gt;DA$6,B24&gt;DB$6),ISBLANK(Y23)),0,Setup!C$63=YEAR(C24),Setup!C$62,AND(OR(A24&lt;=DA$4,B24&lt;=DB$4),Setup!C$63&lt;YEAR(C24)),O23*(1+DH$1),AND(A24&gt;DA$4,B24&gt;DB$4,Setup!C$63&lt;YEAR(C24)),IF(Y23=0,0,(O23-((O23/Y23)*BY23))*(1+DH$2)))</f>
        <v>0</v>
      </c>
      <c r="P24" s="327" cm="1">
        <f t="array" ref="P24">_xlfn.IFS(OR(ISBLANK(Setup!C$67),Setup!C$67&gt;YEAR(C24),AND(A24&gt;DA$6,B24&gt;DB$6)),0,Setup!C$67=YEAR(C24),Setup!C$66,AND(OR(A24&lt;=DA$4,B24&lt;=DB$4),Setup!C$67&lt;YEAR(C24)),P23*(1+DH$1),AND(A24&gt;DA$4,B24&gt;DB$4,Setup!C$67&lt;YEAR(C24)),IF(Y23=0,0,(P23-((P23/Y23)*BY23))*(1+DH$2)))</f>
        <v>0</v>
      </c>
      <c r="Q24" s="327" cm="1">
        <f t="array" ref="Q24">_xlfn.IFS(OR(ISBLANK(Setup!C$71),Setup!C$71&gt;YEAR(C24),AND(A24&gt;DA$6,B24&gt;DB$6)),0,Setup!C$71=YEAR(C24),Setup!C$70,AND(OR(A24&lt;=DA$4,B24&lt;=DB$4),Setup!C$71&lt;YEAR(C24)),Q23*(1+DH$1),AND(A24&gt;DA$4,B24&gt;DB$4,Setup!C$71&lt;YEAR(C24)),IF(Y23=0,0,(Q23-((Q23/Y23)*BY23))*(1+DH$2)))</f>
        <v>0</v>
      </c>
      <c r="R24" s="327" cm="1">
        <f t="array" ref="R24">_xlfn.IFS(OR(ISBLANK(Setup!C$75),Setup!C$75&gt;YEAR(C24),AND(A24&gt;DA$6,B24&gt;DB$6)),0,Setup!C$75=YEAR(C24),Setup!C$74,AND(OR(A24&lt;=DA$4,B24&lt;=DB$4),Setup!C$75&lt;YEAR(C24)),R23*(1+DH$1),AND(A24&gt;DA$4,B24&gt;DB$4,Setup!C$75&lt;YEAR(C24)),IF(Y23=0,0,(R23-((R23/Y23)*BY23))*(1+DH$2)))</f>
        <v>0</v>
      </c>
      <c r="S24" s="327"/>
      <c r="T24" s="326" cm="1">
        <f t="array" ref="T24">_xlfn.IFS(AND($A24&gt;$DA$6,$B24&gt;$DB$6),0,AND($W$2=$DA$2,$A24&gt;$DA$4),IF($Y23=0,0,(T23-((T23/$Y23)*$BY23))*(1+$DH$2)),AND($W$2=$DB$2,$B24&gt;$DB$4),IF($Y23=0,0,(T23-((T23/$Y23)*$BY23))*(1+$DH$2)),AND($W$2=$DA$2,OR($A24&gt;$DA$3,$A24&gt;$DA$6)),(T23*(1+$DH$1)),AND($W$2=$DB$2,OR($B24&gt;$DB$3,$B24&gt;$DB$6)),(T23*(1+$DH$1)),AND($W$2=$DA$2,$A24&lt;=$DA$3,$A24&lt;=$DA$4,$A24&lt;=$DA$5),(T23*(1+$DH$1))+(T$4),AND($W$2=$DB$2,$B24&lt;=$DB$3,$B24&lt;=$DB$4,$B24&lt;=$DB$5),(T23*(1+$DH$1))+(T$4))</f>
        <v>0</v>
      </c>
      <c r="U24" s="326" cm="1">
        <f t="array" ref="U24">_xlfn.IFS(AND($A24&gt;$DA$6,$B24&gt;$DB$6),0,AND($W$2=$DA$2,$A24&gt;$DA$4),IF($Y23=0,0,(U23-((U23/$Y23)*$BY23))*(1+$DH$2)),AND($W$2=$DB$2,$B24&gt;$DB$4),IF($Y23=0,0,(U23-((U23/$Y23)*$BY23))*(1+$DH$2)),AND($W$2=$DA$2,OR($A24&gt;$DA$3,$A24&gt;$DA$6)),(U23*(1+$DH$1)),AND($W$2=$DB$2,OR($B24&gt;$DB$3,$B24&gt;$DB$6)),(U23*(1+$DH$1)),AND($W$2=$DA$2,$A24&lt;=$DA$3,$A24&lt;=$DA$4,$A24&lt;=$DA$5),(U23*(1+$DH$1))+(U$4),AND($W$2=$DB$2,$B24&lt;=$DB$3,$B24&lt;=$DB$4,$B24&lt;=$DB$5),(U23*(1+$DH$1))+(U$4))</f>
        <v>0</v>
      </c>
      <c r="V24" s="326" cm="1">
        <f t="array" ref="V24">_xlfn.IFS(AND($A24&gt;$DA$6,$B24&gt;$DB$6),0,AND($W$2=$DA$2,$A24&gt;$DA$4),IF($Y23=0,0,(V23-((V23/$Y23)*$BY23))*(1+$DH$2)),AND($W$2=$DB$2,$B24&gt;$DB$4),IF($Y23=0,0,(V23-((V23/$Y23)*$BY23))*(1+$DH$2)),AND($W$2=$DA$2,OR($A24&gt;$DA$3,$A24&gt;$DA$6)),(V23*(1+$DH$1)),AND($W$2=$DB$2,OR($B24&gt;$DB$3,$B24&gt;$DB$6)),(V23*(1+$DH$1)),AND($W$2=$DA$2,$A24&lt;=$DA$3,$A24&lt;=$DA$4,$A24&lt;=$DA$5),(V23*(1+$DH$1))+(V$4),AND($W$2=$DB$2,$B24&lt;=$DB$3,$B24&lt;=$DB$4,$B24&lt;=$DB$5),(V23*(1+$DH$1))+(V$4))</f>
        <v>0</v>
      </c>
      <c r="W24" s="326" cm="1">
        <f t="array" ref="W24">_xlfn.IFS(AND($A24&gt;$DA$6,$B24&gt;$DB$6),0,AND($W$2=$DA$2,$A24&gt;$DA$4),IF($Y23=0,0,(W23-((W23/$Y23)*$BY23))*(1+$DH$2)),AND($W$2=$DB$2,$B24&gt;$DB$4),IF($Y23=0,0,(W23-((W23/$Y23)*$BY23))*(1+$DH$2)),AND($W$2=$DA$2,OR($A24&gt;$DA$3,$A24&gt;$DA$6)),(W23*(1+$DH$1)),AND($W$2=$DB$2,OR($B24&gt;$DB$3,$B24&gt;$DB$6)),(W23*(1+$DH$1)),AND($W$2=$DA$2,$A24&lt;=$DA$3,$A24&lt;=$DA$4,$A24&lt;=$DA$5),(W23*(1+$DH$1))+(W$4),AND($W$2=$DB$2,$B24&lt;=$DB$3,$B24&lt;=$DB$4,$B24&lt;=$DB$5),(W23*(1+$DH$1))+(W$4))</f>
        <v>0</v>
      </c>
      <c r="Y24" s="1">
        <f t="shared" si="18"/>
        <v>0</v>
      </c>
      <c r="Z24" s="2">
        <f t="shared" si="19"/>
        <v>0</v>
      </c>
      <c r="AA24" s="375"/>
      <c r="AC24" s="326" cm="1">
        <f t="array" ref="AC24">_xlfn.IFS(AND(A24&gt;DA$6,B24&gt;DB$6),0,AND(A24&gt;DA$4,B24&gt;DB$4),IF(AG23=0,0,(AC23-((AC23/AG23)*CA23))*(1+DH$2)),OR(A24&gt;DA$3,A24&gt;DA$6),AC23*(1+DH$1),A24&gt;DA$4,(AC23-CA23)*(1+DH$2),AND(A24&lt;=DA$3,A24&lt;=DA$4,A24&lt;=DA$6),(AC23*(1+DH$1))+(AC$4))</f>
        <v>0</v>
      </c>
      <c r="AD24" s="375"/>
      <c r="AE24" s="326" cm="1">
        <f t="array" ref="AE24">_xlfn.IFS(AND(A24&gt;DA$6,B24&gt;DB$6),0,AND(A24&gt;DA$4,B24&gt;DB$4),IF(AG23=0,0,(AE23-((AE23/AG23)*CA23))*(1+DH$2)),OR(B24&gt;DB$3,B24&gt;DB$6),AE23*(1+DH$1),B24&gt;DB$4,(AE23-CA23)*(1+DH$2),AND(B24&lt;=DB$3,B24&lt;=DB$4,B24&lt;=DB$6),(AE23*(1+DH$1))+(AE$4))</f>
        <v>0</v>
      </c>
      <c r="AF24" s="375"/>
      <c r="AG24" s="1">
        <f t="shared" si="5"/>
        <v>0</v>
      </c>
      <c r="AH24" s="2">
        <f t="shared" si="20"/>
        <v>0</v>
      </c>
      <c r="AI24" s="14">
        <f t="shared" si="6"/>
        <v>0</v>
      </c>
      <c r="AK24" s="1">
        <f t="shared" si="21"/>
        <v>0</v>
      </c>
      <c r="AL24" s="14">
        <f t="shared" si="22"/>
        <v>0</v>
      </c>
      <c r="AM24" s="14" t="str">
        <f t="shared" si="23"/>
        <v/>
      </c>
      <c r="AO24" s="15">
        <f t="shared" si="7"/>
        <v>0</v>
      </c>
      <c r="AP24" s="1">
        <f>IF(AND(B24&gt;=$DB$6,A24&gt;=$DA$6),0,AP23*(1+Lookups!C$12))</f>
        <v>0</v>
      </c>
      <c r="AQ24" s="1">
        <f>IF(AND(B24&gt;=$DB$6,A24&gt;=$DA$6),0,AQ23*(1+Lookups!C$12))</f>
        <v>0</v>
      </c>
      <c r="AS24" s="1" cm="1">
        <f t="array" ref="AS24">_xlfn.IFS(OR(AS$6="",AND(A24&gt;=DA$6,B24&gt;=DB$6),AND(A24&lt;DA$4,B24&lt;DB$4)),0,AND(A24=DA$4,DA$4&lt;=DB$4),AS$6,AND(B24=DB$4,DA$4&gt;=DB$4),AS$6,OR(A24&gt;DA$4,B24&gt;DB$4),AS23*(1+Setup!C$103))</f>
        <v>0</v>
      </c>
      <c r="AT24" s="1" cm="1">
        <f t="array" ref="AT24">_xlfn.IFS(OR(AT$6="",AND(A24&gt;=DA$6,B24&gt;=DB$6),AND(A24&lt;DA$4,B24&lt;DB$4)),0,AND(A24=DA$4,DA$4&lt;=DB$4),AT$6,AND(B24=DB$4,DA$4&gt;=DB$4),AT$6,OR(A24&gt;DA$4,B24&gt;DB$4),AT23*(1+Setup!C$103))</f>
        <v>0</v>
      </c>
      <c r="AU24" s="1" cm="1">
        <f t="array" ref="AU24">_xlfn.IFS(OR(AU$6="",AND(A24&gt;=DA$6,B24&gt;=DB$6),AND(A24&lt;DA$4,B24&lt;DB$4)),0,AND(A24=DA$4,DA$4&lt;=DB$4),AU$6,AND(B24=DB$4,DA$4&gt;=DB$4),AU$6,OR(A24&gt;DA$4,B24&gt;DB$4),AU23*(1+Setup!C$103))</f>
        <v>0</v>
      </c>
      <c r="AV24" s="1" cm="1">
        <f t="array" ref="AV24">_xlfn.IFS(OR(AV$6="",AND(A24&gt;=DA$6,B24&gt;=DB$6),AND(A24&lt;DA$4,B24&lt;DB$4)),0,AND(A24=DA$4,DA$4&lt;=DB$4),AV$6,AND(B24=DB$4,DA$4&gt;=DB$4),AV$6,OR(A24&gt;DA$4,B24&gt;DB$4),AV23*(1+Setup!C$103))</f>
        <v>0</v>
      </c>
      <c r="AW24" s="1">
        <f t="shared" si="8"/>
        <v>0</v>
      </c>
      <c r="AY24" s="1" cm="1">
        <f t="array" ref="AY24">_xlfn.IFS(OR(AND(A24&gt;=DA$6,B24&gt;=DB$6),A24&lt;DA$5),0,AND(A24=DA$5,YEAR(C24)&gt;=Lookups!D$89),VLOOKUP(A24,Lookups!B$94:F$102,3),AND(A24=DA$5,YEAR(C24)&lt;Lookups!D$89),VLOOKUP(A24,Lookups!B$94:F$102,2),AND(A24&gt;DA$5,YEAR(C24)=Lookups!D$89),(AY23*Lookups!D$90)*(1+Lookups!C$20),AND(A24&gt;DA$5,YEAR(C24)&lt;&gt;Lookups!D$89),AY23*(1+Lookups!C$20))</f>
        <v>0</v>
      </c>
      <c r="AZ24" s="1" cm="1">
        <f t="array" ref="AZ24">_xlfn.IFS(OR(ISBLANK(Setup!K$91),Setup!K$91=0,AND(A24&gt;=DA$6,B24&gt;=DB$6),B24&lt;DB$5),0,AND(B24=DB$5,YEAR(C24)&gt;=Lookups!D$89),VLOOKUP(B24,Lookups!B$94:F$102,5),AND(B24=DB$5,YEAR(C24)&lt;Lookups!D$89),VLOOKUP(B24,Lookups!B$94:F$102,4),AND(B24&gt;DB$5,YEAR(C24)=Lookups!D$89),(AZ23*Lookups!D$90)*(1+Lookups!C$20),AND(B24&gt;DB$5,YEAR(C24)&lt;&gt;Lookups!D$89),AZ23*(1+Lookups!C$20))</f>
        <v>0</v>
      </c>
      <c r="BA24" s="65">
        <f>IF(OR(AY24&gt;0,AZ24&gt;0),(AY24+AZ24)*Lookups!D$120,0)</f>
        <v>0</v>
      </c>
      <c r="BB24" s="1" cm="1">
        <f t="array" ref="BB24">_xlfn.IFS(AND(A24&lt;DA$4,B24&lt;DB$4),0,OR(_xlfn.XOR(A24&gt;DA$6,B24&gt;DB$6),_xlfn.XOR(A24&gt;=DA$4,B24&gt;=DB$4)),IF(AP24-SUM(AW24,AY24:AZ24)&gt;0,AP24-SUM(AW24,AY24:AZ24),0),AQ24-SUM(AW24,AY24:AZ24)&gt;0, AQ24-SUM(AW24,AY24:AZ24),AQ24-SUM(AW24,AY24:AZ24)&lt;=0,0)</f>
        <v>0</v>
      </c>
      <c r="BD24" s="1" cm="1">
        <f t="array" ref="BD24">_xlfn.IFS(AND(A24&gt;=DA$6,B24&gt;=DB$6),0,AND(A24&gt;=DA$6,B24&gt;=Lookups!C$35),D24/VLOOKUP(B24,Lookups!C$37:D$67,2),A24&lt;Lookups!$C$35,0,A24&gt;=Lookups!C$35,D24/VLOOKUP(A24,Lookups!C$37:D$67,2))</f>
        <v>0</v>
      </c>
      <c r="BE24" s="1" cm="1">
        <f t="array" ref="BE24">_xlfn.IFS(AND(A24&gt;=DA$6,B24&gt;=DB$6),0,AND(B24&gt;=DB$6,A24&gt;=Lookups!C$35),F24/VLOOKUP(A24,Lookups!C$37:D$67,2),B24&lt;Lookups!$C$35,0,B24&gt;=Lookups!C$35,F24/VLOOKUP(B24,Lookups!C$37:D$67,2))</f>
        <v>0</v>
      </c>
      <c r="BF24" s="1" cm="1">
        <f t="array" ref="BF24">_xlfn.IFS($BB24&lt;=0,0,AND(A24&gt;=DA$4,B24&gt;=DB$4,$BB24*I24&lt;(BD24+BE24)),0,AND(A24&gt;=DA$4,B24&gt;=DB$4,H24&gt;=(BB24*I24)-BD24-BE24),(BB24*I24)-BD24-BE24,AND(A24&gt;=DA$4,B24&gt;=DB$4,H24&lt;(BB24*I24)-BD24-BE24),H24,AND(A24&gt;=DA$4,$BB24*I24&lt;(BD24)),0,AND(A24&gt;=DA$4,H24&gt;=(BB24*I24)-BD24),(BB24*I24)-BD24,AND(A24&gt;=DA$4,H24&lt;(BB24*I24)-BD24),H24,AND(B24&gt;=DB$4,$BB24*I24&lt;(BE24)),0,AND(B24&gt;=DB$4,H24&gt;=(BB24*I24)-BE24),(BB24*I24)-BE24,AND(B24&gt;=DB$4,H24&lt;(BB24*I24)-BE24),H24)</f>
        <v>0</v>
      </c>
      <c r="BG24" s="1">
        <f t="shared" si="9"/>
        <v>0</v>
      </c>
      <c r="BH24" s="1" cm="1">
        <f t="array" ref="BH24">_xlfn.IFS(OR(D24=0,A24&lt;DA$4),0,AND(A24&gt;=DA$4,B24&gt;=DB$4,D24&lt;BD24+($BF24*(D24/$H24))+(-$BP24*(D24/$H24))),D24,AND(A24&gt;=DA$4,B24&gt;=DB$4,$BB24&gt;$BG24),BD24+($BF24*(D24/$H24))+(-$BP24*(D24/$H24)),AND(A24&gt;=DA$4,B24&gt;=DB$4,OR(A24&gt;DA$6, B24&gt;DB$6),$AP24-SUM($AW24,$AY24:$AZ24)&lt;0),BD24+($BF24*(D24/$H24))+(-$BP24*(D24/$H24))+(BP24*(D24/$H24)),AND(A24&gt;=DA$4,B24&gt;=DB$4,$AQ24-SUM($AW24,$AY24:$AZ24)&lt;0),BD24+($BF24*(D24/$H24))+(-$BP24*(D24/$H24))+(BP24*(D24/$H24)),AND(A24&gt;=DA$4,D24&lt;BD24+$BF24-$BP24),D24,AND(A24&gt;=DA$4,$AP24-SUM($AW24,$AY24:$AZ24)&lt;0),BD24+($BF24*(D24/$H24))+(-$BP24*(D24/$H24))+(BP24*(D24/$H24)),A24&gt;=DA$4,BD24+$BF24-$BP24)</f>
        <v>0</v>
      </c>
      <c r="BI24" s="1" cm="1">
        <f t="array" ref="BI24">_xlfn.IFS(OR(F24=0,B24&lt;DB$4),0,AND(A24&gt;=DA$4,B24&gt;=DB$4,F24&lt;BE24+($BF24*(F24/$H24))+(-$BP24*(F24/$H24))),F24,AND(A24&gt;=DA$4,B24&gt;=DB$4,$BB24&gt;$BG24),BE24+($BF24*(F24/$H24))+(-$BP24*(F24/$H24)),AND(A24&gt;=DA$4,B24&gt;=DB$4,OR(A24&gt;DA$6, B24&gt;DB$6),$AP24-SUM($AW24,$AY24:$AZ24)&lt;0),BE24+($BF24*(F24/$H24))+(-$BP24*(F24/$H24))+(BP24*(F24/$H24)),AND(A24&gt;=DA$4,B24&gt;=DB$4,$AQ24-SUM($AW24,$AY24:$AZ24)&lt;0),BE24+($BF24*(F24/$H24))+(-$BP24*(F24/$H24))+(BP24*(F24/$H24)),AND(B24&gt;=DB$4,F24&lt;BE24+$BF24-$BP24),F24,AND(B24&gt;=DB$4,$AP24-SUM($AW24,$AY24:$AZ24)&lt;0),BE24+($BF24*(F24/$H24))+(-$BP24*(F24/$H24))+(BP24*(F24/$H24)),B24&gt;=DB$4,BE24+$BF24-$BP24)</f>
        <v>0</v>
      </c>
      <c r="BJ24" s="64" cm="1">
        <f t="array" ref="BJ24">IF(AW24+BA24+BG24&gt;0, AW24+BA24+BG24-_xlfn.IFS(AND(A24&gt;=65,B24&gt;=65),VLOOKUP(Setup!I$4,Lookups!C$133:F$136,4),OR(A24&gt;=65,B24&gt;=65),VLOOKUP(Setup!I$4,Lookups!C$133:E$136,3),AND(A24&lt;65,B24&lt;65),VLOOKUP(Setup!I$4,Lookups!C$133:D$136,2)),0)</f>
        <v>0</v>
      </c>
      <c r="BK24" s="1" cm="1">
        <f t="array" ref="BK24">IF(BJ24&gt;0,_xlfn.IFS(Setup!I$4=Lookups!D$109,-_xlfn.IFS($BJ24&gt;=Lookups!D$157, Lookups!F$157+($BJ24-Lookups!D$157)*Lookups!G$157,$BJ24&gt;=Lookups!D$156, Lookups!F$156+($BJ24-Lookups!D$156)*Lookups!G$156,$BJ24&gt;=Lookups!D$155, Lookups!F$155+($BJ24-Lookups!D$155)*Lookups!G$155,$BJ24&gt;=Lookups!D$154, Lookups!F$154+($BJ24-Lookups!D$154)*Lookups!G$154,$BJ24&gt;=Lookups!D$153, Lookups!F$153+($BJ24-Lookups!D$153)*Lookups!G$153,$BJ24&gt;=Lookups!D$152, Lookups!F$152+($BJ24-Lookups!D$152)*Lookups!G$152,$BJ24&lt;Lookups!D$152,$BJ24*Lookups!G$151),Setup!I$4=Lookups!D$110,-_xlfn.IFS($BJ24&gt;=Lookups!D$167, Lookups!F$167+($BJ24-Lookups!D$167)*Lookups!G$167,$BJ24&gt;=Lookups!D$166, Lookups!F$166+($BJ24-Lookups!D$166)*Lookups!G$166,$BJ24&gt;=Lookups!D$165, Lookups!F$165+($BJ24-Lookups!D$165)*Lookups!G$165,$BJ24&gt;=Lookups!D$164, Lookups!F$164+($BJ24-Lookups!D$164)*Lookups!G$164,$BJ24&gt;=Lookups!D$163, Lookups!F$163+($BJ24-Lookups!D$163)*Lookups!G$163,$BJ24&gt;=Lookups!D$162, Lookups!F$162+($BJ24-Lookups!D$162)*Lookups!G$162,$BJ24&lt;Lookups!D$162,$BJ24*Lookups!G$161),Setup!I$4=Lookups!D$111,-_xlfn.IFS($BJ24&gt;=Lookups!D$177, Lookups!F$177+($BJ24-Lookups!D$177)*Lookups!G$177,$BJ24&gt;=Lookups!D$176, Lookups!F$176+($BJ24-Lookups!D$176)*Lookups!G$176,$BJ24&gt;=Lookups!D$175, Lookups!F$175+($BJ24-Lookups!D$175)*Lookups!G$175,$BJ24&gt;=Lookups!D$174, Lookups!F$174+($BJ24-Lookups!D$174)*Lookups!G$174,$BJ24&gt;=Lookups!D$173, Lookups!F$173+($BJ24-Lookups!D$173)*Lookups!G$173,$BJ24&gt;=Lookups!D$172, Lookups!F$172+($BJ24-Lookups!D$172)*Lookups!G$172,$BJ24&lt;Lookups!D$172,$BJ24*Lookups!G$171), Setup!I$4=Lookups!D$112,-_xlfn.IFS($BJ24&gt;=Lookups!D$187, Lookups!F$187+($BJ24-Lookups!D$187)*Lookups!G$187,$BJ24&gt;=Lookups!D$186, Lookups!F$186+($BJ24-Lookups!D$186)*Lookups!G$186,$BJ24&gt;=Lookups!D$185, Lookups!F$185+($BJ24-Lookups!D$185)*Lookups!G$185,$BJ24&gt;=Lookups!D$184, Lookups!F$184+($BJ24-Lookups!D$184)*Lookups!G$184,$BJ24&gt;=Lookups!D$183, Lookups!F$183+($BJ24-Lookups!D$183)*Lookups!G$183,$BJ24&gt;=Lookups!D$182, Lookups!F$182+($BJ24-Lookups!D$182)*Lookups!G$182,$BJ24&lt;Lookups!D$182,$BJ24*Lookups!G$181)),0)</f>
        <v>0</v>
      </c>
      <c r="BL24" s="18">
        <f t="shared" si="10"/>
        <v>0</v>
      </c>
      <c r="BM24" s="134">
        <f t="shared" si="24"/>
        <v>0</v>
      </c>
      <c r="BN24" s="134" cm="1">
        <f t="array" aca="1" ref="BN24" ca="1">INDIRECT(Setup!I$6&amp;"!"&amp;"A"&amp;ROW())</f>
        <v>0</v>
      </c>
      <c r="BO24" s="134">
        <f t="shared" si="25"/>
        <v>0</v>
      </c>
      <c r="BP24" s="1">
        <f t="shared" si="11"/>
        <v>0</v>
      </c>
      <c r="BQ24" s="1">
        <f t="shared" si="26"/>
        <v>0</v>
      </c>
      <c r="BS24" s="1">
        <f t="shared" si="27"/>
        <v>0</v>
      </c>
      <c r="BT24" s="1" cm="1">
        <f t="array" ref="BT24">-IF(BS24&gt;0,_xlfn.IFS((AW24+BA24+BG24+BS24)&gt;=VLOOKUP(Setup!I$4,Lookups!C$210:E$213,3),BS24*Lookups!D$203,(AW24+BA24+BG24+BS24)&gt;=VLOOKUP(Setup!I$4,Lookups!C$210:E$213,2),BS24*Lookups!D$197,(AW24+BA24+BG24+BS24)&lt;VLOOKUP(Setup!I$4,Lookups!C$210:E$213,2),0),0)</f>
        <v>0</v>
      </c>
      <c r="BU24" s="18">
        <f t="shared" si="28"/>
        <v>0</v>
      </c>
      <c r="BV24" s="1">
        <f t="shared" si="29"/>
        <v>0</v>
      </c>
      <c r="BW24" s="1" cm="1">
        <f t="array" aca="1" ref="BW24" ca="1">INDIRECT(Setup!I$6&amp;"!"&amp;"A"&amp;ROW()+100)</f>
        <v>0</v>
      </c>
      <c r="BX24" s="1">
        <f t="shared" ca="1" si="15"/>
        <v>0</v>
      </c>
      <c r="BY24" s="1">
        <f t="shared" ca="1" si="16"/>
        <v>0</v>
      </c>
      <c r="CA24" s="1">
        <f t="shared" si="34"/>
        <v>0</v>
      </c>
      <c r="CC24" s="1" cm="1">
        <f t="array" ref="CC24">_xlfn.IFS(AND(A24&lt;$DA$4,B24&lt;$DB$4),0,AND(AND(A24&gt;=$DA$4,B24&gt;=$DB$4),AND(A24&lt;=$DA$6,B24&lt;=$DB$6),AND(BH24=0,BI24=0)),SUM(AW24,AY24:AZ24,BD24:BF24,BP24,BS24,CA24)-AQ24,AND(AND(A24&gt;=$DA$4,B24&gt;=$DB$4),AND(A24&lt;=$DA$6,B24&lt;=$DB$6)),SUM(AW24,AY24:AZ24,BD24:BF24,BS24,CA24)-AQ24,AND(OR(A24&gt;=$DA$4,B24&gt;=$DB$4),AND(BH24=0,BI24=0)),SUM(AW24,AY24:AZ24,BD24:BF24,BP24,BS24,CA24)-AP24,OR(A24&gt;=$DA$4,B24&gt;=$DB$4),SUM(AW24,AY24:AZ24,BD24:BF24,BS24,CA24)-AP24)</f>
        <v>0</v>
      </c>
      <c r="CD24" s="142" t="str">
        <f t="shared" si="30"/>
        <v/>
      </c>
    </row>
    <row r="25" spans="1:83" x14ac:dyDescent="0.3">
      <c r="A25" s="354">
        <f t="shared" si="31"/>
        <v>18</v>
      </c>
      <c r="B25" s="354">
        <f t="shared" si="32"/>
        <v>18</v>
      </c>
      <c r="C25" s="359">
        <f t="shared" si="33"/>
        <v>6576</v>
      </c>
      <c r="D25" s="326" cm="1">
        <f t="array" ref="D25">_xlfn.IFS(AND(A25&gt;DA$6,B25&gt;DB$6),0,AND(A25&gt;DA$3,A25&lt;=DA$4),D24*(1+DH$1),OR(A25&gt;DA$6,A25&gt;DA$4),(D24-BH24)*(1+DH$2),A25&lt;=DA$4,(D24*(1+DH$1))+(D$4))</f>
        <v>0</v>
      </c>
      <c r="E25" s="375"/>
      <c r="F25" s="326" cm="1">
        <f t="array" ref="F25">_xlfn.IFS(AND(A25&gt;DA$6,B25&gt;DB$6),0,AND(B25&gt;DB$3,B25&lt;=DB$4),F24*(1+DH$1),OR(B25&gt;DB$6,B25&gt;DB$4),(F24-BI24)*(1+DH$2),B25&lt;=DB$4,(F24*(1+DH$1))+(F$4))</f>
        <v>0</v>
      </c>
      <c r="G25" s="375"/>
      <c r="H25" s="1">
        <f t="shared" si="17"/>
        <v>0</v>
      </c>
      <c r="I25" s="2">
        <f t="shared" si="2"/>
        <v>0</v>
      </c>
      <c r="J25" s="14">
        <f t="shared" si="35"/>
        <v>0</v>
      </c>
      <c r="L25" s="402" cm="1">
        <f t="array" ref="L25">_xlfn.IFS(AND(A25&gt;DA$6,B25&gt;DB$6),0,A25&lt;DA$6,0,A25=DA$6,L$4,AND(A25&gt;DA$6,B25&lt;=DB$4),L24*(1+DH$1),AND(A25&gt;DA$6,B25&gt;DB$4),IF(Y24=0,0,(L24-((L24/Y24)*BY24))*(1+DH$2)))</f>
        <v>0</v>
      </c>
      <c r="M25" s="402" cm="1">
        <f t="array" ref="M25">_xlfn.IFS(AND(A25&gt;DA$6,B25&gt;DB$6),0,B25&lt;DB$6,0,B25=DB$6,M$4,AND(B25&gt;DB$6,A25&lt;=DA$4),M24*(1+DH$1),AND(A25&gt;DA$4,B25&gt;DB$6),IF(Y24=0,0,(M24-((M24/Y24)*BY24))*(1+DH$2)))</f>
        <v>0</v>
      </c>
      <c r="N25" s="327"/>
      <c r="O25" s="327" cm="1">
        <f t="array" ref="O25">_xlfn.IFS(OR(ISBLANK(Setup!C$63),Setup!C$63&gt;YEAR(C25),AND(A25&gt;DA$6,B25&gt;DB$6),ISBLANK(Y24)),0,Setup!C$63=YEAR(C25),Setup!C$62,AND(OR(A25&lt;=DA$4,B25&lt;=DB$4),Setup!C$63&lt;YEAR(C25)),O24*(1+DH$1),AND(A25&gt;DA$4,B25&gt;DB$4,Setup!C$63&lt;YEAR(C25)),IF(Y24=0,0,(O24-((O24/Y24)*BY24))*(1+DH$2)))</f>
        <v>0</v>
      </c>
      <c r="P25" s="327" cm="1">
        <f t="array" ref="P25">_xlfn.IFS(OR(ISBLANK(Setup!C$67),Setup!C$67&gt;YEAR(C25),AND(A25&gt;DA$6,B25&gt;DB$6)),0,Setup!C$67=YEAR(C25),Setup!C$66,AND(OR(A25&lt;=DA$4,B25&lt;=DB$4),Setup!C$67&lt;YEAR(C25)),P24*(1+DH$1),AND(A25&gt;DA$4,B25&gt;DB$4,Setup!C$67&lt;YEAR(C25)),IF(Y24=0,0,(P24-((P24/Y24)*BY24))*(1+DH$2)))</f>
        <v>0</v>
      </c>
      <c r="Q25" s="327" cm="1">
        <f t="array" ref="Q25">_xlfn.IFS(OR(ISBLANK(Setup!C$71),Setup!C$71&gt;YEAR(C25),AND(A25&gt;DA$6,B25&gt;DB$6)),0,Setup!C$71=YEAR(C25),Setup!C$70,AND(OR(A25&lt;=DA$4,B25&lt;=DB$4),Setup!C$71&lt;YEAR(C25)),Q24*(1+DH$1),AND(A25&gt;DA$4,B25&gt;DB$4,Setup!C$71&lt;YEAR(C25)),IF(Y24=0,0,(Q24-((Q24/Y24)*BY24))*(1+DH$2)))</f>
        <v>0</v>
      </c>
      <c r="R25" s="327" cm="1">
        <f t="array" ref="R25">_xlfn.IFS(OR(ISBLANK(Setup!C$75),Setup!C$75&gt;YEAR(C25),AND(A25&gt;DA$6,B25&gt;DB$6)),0,Setup!C$75=YEAR(C25),Setup!C$74,AND(OR(A25&lt;=DA$4,B25&lt;=DB$4),Setup!C$75&lt;YEAR(C25)),R24*(1+DH$1),AND(A25&gt;DA$4,B25&gt;DB$4,Setup!C$75&lt;YEAR(C25)),IF(Y24=0,0,(R24-((R24/Y24)*BY24))*(1+DH$2)))</f>
        <v>0</v>
      </c>
      <c r="S25" s="327"/>
      <c r="T25" s="326" cm="1">
        <f t="array" ref="T25">_xlfn.IFS(AND($A25&gt;$DA$6,$B25&gt;$DB$6),0,AND($W$2=$DA$2,$A25&gt;$DA$4),IF($Y24=0,0,(T24-((T24/$Y24)*$BY24))*(1+$DH$2)),AND($W$2=$DB$2,$B25&gt;$DB$4),IF($Y24=0,0,(T24-((T24/$Y24)*$BY24))*(1+$DH$2)),AND($W$2=$DA$2,OR($A25&gt;$DA$3,$A25&gt;$DA$6)),(T24*(1+$DH$1)),AND($W$2=$DB$2,OR($B25&gt;$DB$3,$B25&gt;$DB$6)),(T24*(1+$DH$1)),AND($W$2=$DA$2,$A25&lt;=$DA$3,$A25&lt;=$DA$4,$A25&lt;=$DA$5),(T24*(1+$DH$1))+(T$4),AND($W$2=$DB$2,$B25&lt;=$DB$3,$B25&lt;=$DB$4,$B25&lt;=$DB$5),(T24*(1+$DH$1))+(T$4))</f>
        <v>0</v>
      </c>
      <c r="U25" s="326" cm="1">
        <f t="array" ref="U25">_xlfn.IFS(AND($A25&gt;$DA$6,$B25&gt;$DB$6),0,AND($W$2=$DA$2,$A25&gt;$DA$4),IF($Y24=0,0,(U24-((U24/$Y24)*$BY24))*(1+$DH$2)),AND($W$2=$DB$2,$B25&gt;$DB$4),IF($Y24=0,0,(U24-((U24/$Y24)*$BY24))*(1+$DH$2)),AND($W$2=$DA$2,OR($A25&gt;$DA$3,$A25&gt;$DA$6)),(U24*(1+$DH$1)),AND($W$2=$DB$2,OR($B25&gt;$DB$3,$B25&gt;$DB$6)),(U24*(1+$DH$1)),AND($W$2=$DA$2,$A25&lt;=$DA$3,$A25&lt;=$DA$4,$A25&lt;=$DA$5),(U24*(1+$DH$1))+(U$4),AND($W$2=$DB$2,$B25&lt;=$DB$3,$B25&lt;=$DB$4,$B25&lt;=$DB$5),(U24*(1+$DH$1))+(U$4))</f>
        <v>0</v>
      </c>
      <c r="V25" s="326" cm="1">
        <f t="array" ref="V25">_xlfn.IFS(AND($A25&gt;$DA$6,$B25&gt;$DB$6),0,AND($W$2=$DA$2,$A25&gt;$DA$4),IF($Y24=0,0,(V24-((V24/$Y24)*$BY24))*(1+$DH$2)),AND($W$2=$DB$2,$B25&gt;$DB$4),IF($Y24=0,0,(V24-((V24/$Y24)*$BY24))*(1+$DH$2)),AND($W$2=$DA$2,OR($A25&gt;$DA$3,$A25&gt;$DA$6)),(V24*(1+$DH$1)),AND($W$2=$DB$2,OR($B25&gt;$DB$3,$B25&gt;$DB$6)),(V24*(1+$DH$1)),AND($W$2=$DA$2,$A25&lt;=$DA$3,$A25&lt;=$DA$4,$A25&lt;=$DA$5),(V24*(1+$DH$1))+(V$4),AND($W$2=$DB$2,$B25&lt;=$DB$3,$B25&lt;=$DB$4,$B25&lt;=$DB$5),(V24*(1+$DH$1))+(V$4))</f>
        <v>0</v>
      </c>
      <c r="W25" s="326" cm="1">
        <f t="array" ref="W25">_xlfn.IFS(AND($A25&gt;$DA$6,$B25&gt;$DB$6),0,AND($W$2=$DA$2,$A25&gt;$DA$4),IF($Y24=0,0,(W24-((W24/$Y24)*$BY24))*(1+$DH$2)),AND($W$2=$DB$2,$B25&gt;$DB$4),IF($Y24=0,0,(W24-((W24/$Y24)*$BY24))*(1+$DH$2)),AND($W$2=$DA$2,OR($A25&gt;$DA$3,$A25&gt;$DA$6)),(W24*(1+$DH$1)),AND($W$2=$DB$2,OR($B25&gt;$DB$3,$B25&gt;$DB$6)),(W24*(1+$DH$1)),AND($W$2=$DA$2,$A25&lt;=$DA$3,$A25&lt;=$DA$4,$A25&lt;=$DA$5),(W24*(1+$DH$1))+(W$4),AND($W$2=$DB$2,$B25&lt;=$DB$3,$B25&lt;=$DB$4,$B25&lt;=$DB$5),(W24*(1+$DH$1))+(W$4))</f>
        <v>0</v>
      </c>
      <c r="Y25" s="1">
        <f t="shared" si="18"/>
        <v>0</v>
      </c>
      <c r="Z25" s="2">
        <f t="shared" si="19"/>
        <v>0</v>
      </c>
      <c r="AA25" s="375"/>
      <c r="AC25" s="326" cm="1">
        <f t="array" ref="AC25">_xlfn.IFS(AND(A25&gt;DA$6,B25&gt;DB$6),0,AND(A25&gt;DA$4,B25&gt;DB$4),IF(AG24=0,0,(AC24-((AC24/AG24)*CA24))*(1+DH$2)),OR(A25&gt;DA$3,A25&gt;DA$6),AC24*(1+DH$1),A25&gt;DA$4,(AC24-CA24)*(1+DH$2),AND(A25&lt;=DA$3,A25&lt;=DA$4,A25&lt;=DA$6),(AC24*(1+DH$1))+(AC$4))</f>
        <v>0</v>
      </c>
      <c r="AD25" s="375"/>
      <c r="AE25" s="326" cm="1">
        <f t="array" ref="AE25">_xlfn.IFS(AND(A25&gt;DA$6,B25&gt;DB$6),0,AND(A25&gt;DA$4,B25&gt;DB$4),IF(AG24=0,0,(AE24-((AE24/AG24)*CA24))*(1+DH$2)),OR(B25&gt;DB$3,B25&gt;DB$6),AE24*(1+DH$1),B25&gt;DB$4,(AE24-CA24)*(1+DH$2),AND(B25&lt;=DB$3,B25&lt;=DB$4,B25&lt;=DB$6),(AE24*(1+DH$1))+(AE$4))</f>
        <v>0</v>
      </c>
      <c r="AF25" s="375"/>
      <c r="AG25" s="1">
        <f t="shared" si="5"/>
        <v>0</v>
      </c>
      <c r="AH25" s="2">
        <f t="shared" si="20"/>
        <v>0</v>
      </c>
      <c r="AI25" s="14">
        <f t="shared" si="6"/>
        <v>0</v>
      </c>
      <c r="AK25" s="1">
        <f t="shared" si="21"/>
        <v>0</v>
      </c>
      <c r="AL25" s="14">
        <f t="shared" si="22"/>
        <v>0</v>
      </c>
      <c r="AM25" s="14" t="str">
        <f t="shared" si="23"/>
        <v/>
      </c>
      <c r="AO25" s="15">
        <f t="shared" si="7"/>
        <v>0</v>
      </c>
      <c r="AP25" s="1">
        <f>IF(AND(B25&gt;=$DB$6,A25&gt;=$DA$6),0,AP24*(1+Lookups!C$12))</f>
        <v>0</v>
      </c>
      <c r="AQ25" s="1">
        <f>IF(AND(B25&gt;=$DB$6,A25&gt;=$DA$6),0,AQ24*(1+Lookups!C$12))</f>
        <v>0</v>
      </c>
      <c r="AS25" s="1" cm="1">
        <f t="array" ref="AS25">_xlfn.IFS(OR(AS$6="",AND(A25&gt;=DA$6,B25&gt;=DB$6),AND(A25&lt;DA$4,B25&lt;DB$4)),0,AND(A25=DA$4,DA$4&lt;=DB$4),AS$6,AND(B25=DB$4,DA$4&gt;=DB$4),AS$6,OR(A25&gt;DA$4,B25&gt;DB$4),AS24*(1+Setup!C$103))</f>
        <v>0</v>
      </c>
      <c r="AT25" s="1" cm="1">
        <f t="array" ref="AT25">_xlfn.IFS(OR(AT$6="",AND(A25&gt;=DA$6,B25&gt;=DB$6),AND(A25&lt;DA$4,B25&lt;DB$4)),0,AND(A25=DA$4,DA$4&lt;=DB$4),AT$6,AND(B25=DB$4,DA$4&gt;=DB$4),AT$6,OR(A25&gt;DA$4,B25&gt;DB$4),AT24*(1+Setup!C$103))</f>
        <v>0</v>
      </c>
      <c r="AU25" s="1" cm="1">
        <f t="array" ref="AU25">_xlfn.IFS(OR(AU$6="",AND(A25&gt;=DA$6,B25&gt;=DB$6),AND(A25&lt;DA$4,B25&lt;DB$4)),0,AND(A25=DA$4,DA$4&lt;=DB$4),AU$6,AND(B25=DB$4,DA$4&gt;=DB$4),AU$6,OR(A25&gt;DA$4,B25&gt;DB$4),AU24*(1+Setup!C$103))</f>
        <v>0</v>
      </c>
      <c r="AV25" s="1" cm="1">
        <f t="array" ref="AV25">_xlfn.IFS(OR(AV$6="",AND(A25&gt;=DA$6,B25&gt;=DB$6),AND(A25&lt;DA$4,B25&lt;DB$4)),0,AND(A25=DA$4,DA$4&lt;=DB$4),AV$6,AND(B25=DB$4,DA$4&gt;=DB$4),AV$6,OR(A25&gt;DA$4,B25&gt;DB$4),AV24*(1+Setup!C$103))</f>
        <v>0</v>
      </c>
      <c r="AW25" s="1">
        <f t="shared" si="8"/>
        <v>0</v>
      </c>
      <c r="AY25" s="1" cm="1">
        <f t="array" ref="AY25">_xlfn.IFS(OR(AND(A25&gt;=DA$6,B25&gt;=DB$6),A25&lt;DA$5),0,AND(A25=DA$5,YEAR(C25)&gt;=Lookups!D$89),VLOOKUP(A25,Lookups!B$94:F$102,3),AND(A25=DA$5,YEAR(C25)&lt;Lookups!D$89),VLOOKUP(A25,Lookups!B$94:F$102,2),AND(A25&gt;DA$5,YEAR(C25)=Lookups!D$89),(AY24*Lookups!D$90)*(1+Lookups!C$20),AND(A25&gt;DA$5,YEAR(C25)&lt;&gt;Lookups!D$89),AY24*(1+Lookups!C$20))</f>
        <v>0</v>
      </c>
      <c r="AZ25" s="1" cm="1">
        <f t="array" ref="AZ25">_xlfn.IFS(OR(ISBLANK(Setup!K$91),Setup!K$91=0,AND(A25&gt;=DA$6,B25&gt;=DB$6),B25&lt;DB$5),0,AND(B25=DB$5,YEAR(C25)&gt;=Lookups!D$89),VLOOKUP(B25,Lookups!B$94:F$102,5),AND(B25=DB$5,YEAR(C25)&lt;Lookups!D$89),VLOOKUP(B25,Lookups!B$94:F$102,4),AND(B25&gt;DB$5,YEAR(C25)=Lookups!D$89),(AZ24*Lookups!D$90)*(1+Lookups!C$20),AND(B25&gt;DB$5,YEAR(C25)&lt;&gt;Lookups!D$89),AZ24*(1+Lookups!C$20))</f>
        <v>0</v>
      </c>
      <c r="BA25" s="65">
        <f>IF(OR(AY25&gt;0,AZ25&gt;0),(AY25+AZ25)*Lookups!D$120,0)</f>
        <v>0</v>
      </c>
      <c r="BB25" s="1" cm="1">
        <f t="array" ref="BB25">_xlfn.IFS(AND(A25&lt;DA$4,B25&lt;DB$4),0,OR(_xlfn.XOR(A25&gt;DA$6,B25&gt;DB$6),_xlfn.XOR(A25&gt;=DA$4,B25&gt;=DB$4)),IF(AP25-SUM(AW25,AY25:AZ25)&gt;0,AP25-SUM(AW25,AY25:AZ25),0),AQ25-SUM(AW25,AY25:AZ25)&gt;0, AQ25-SUM(AW25,AY25:AZ25),AQ25-SUM(AW25,AY25:AZ25)&lt;=0,0)</f>
        <v>0</v>
      </c>
      <c r="BD25" s="1" cm="1">
        <f t="array" ref="BD25">_xlfn.IFS(AND(A25&gt;=DA$6,B25&gt;=DB$6),0,AND(A25&gt;=DA$6,B25&gt;=Lookups!C$35),D25/VLOOKUP(B25,Lookups!C$37:D$67,2),A25&lt;Lookups!$C$35,0,A25&gt;=Lookups!C$35,D25/VLOOKUP(A25,Lookups!C$37:D$67,2))</f>
        <v>0</v>
      </c>
      <c r="BE25" s="1" cm="1">
        <f t="array" ref="BE25">_xlfn.IFS(AND(A25&gt;=DA$6,B25&gt;=DB$6),0,AND(B25&gt;=DB$6,A25&gt;=Lookups!C$35),F25/VLOOKUP(A25,Lookups!C$37:D$67,2),B25&lt;Lookups!$C$35,0,B25&gt;=Lookups!C$35,F25/VLOOKUP(B25,Lookups!C$37:D$67,2))</f>
        <v>0</v>
      </c>
      <c r="BF25" s="1" cm="1">
        <f t="array" ref="BF25">_xlfn.IFS($BB25&lt;=0,0,AND(A25&gt;=DA$4,B25&gt;=DB$4,$BB25*I25&lt;(BD25+BE25)),0,AND(A25&gt;=DA$4,B25&gt;=DB$4,H25&gt;=(BB25*I25)-BD25-BE25),(BB25*I25)-BD25-BE25,AND(A25&gt;=DA$4,B25&gt;=DB$4,H25&lt;(BB25*I25)-BD25-BE25),H25,AND(A25&gt;=DA$4,$BB25*I25&lt;(BD25)),0,AND(A25&gt;=DA$4,H25&gt;=(BB25*I25)-BD25),(BB25*I25)-BD25,AND(A25&gt;=DA$4,H25&lt;(BB25*I25)-BD25),H25,AND(B25&gt;=DB$4,$BB25*I25&lt;(BE25)),0,AND(B25&gt;=DB$4,H25&gt;=(BB25*I25)-BE25),(BB25*I25)-BE25,AND(B25&gt;=DB$4,H25&lt;(BB25*I25)-BE25),H25)</f>
        <v>0</v>
      </c>
      <c r="BG25" s="1">
        <f t="shared" si="9"/>
        <v>0</v>
      </c>
      <c r="BH25" s="1" cm="1">
        <f t="array" ref="BH25">_xlfn.IFS(OR(D25=0,A25&lt;DA$4),0,AND(A25&gt;=DA$4,B25&gt;=DB$4,D25&lt;BD25+($BF25*(D25/$H25))+(-$BP25*(D25/$H25))),D25,AND(A25&gt;=DA$4,B25&gt;=DB$4,$BB25&gt;$BG25),BD25+($BF25*(D25/$H25))+(-$BP25*(D25/$H25)),AND(A25&gt;=DA$4,B25&gt;=DB$4,OR(A25&gt;DA$6, B25&gt;DB$6),$AP25-SUM($AW25,$AY25:$AZ25)&lt;0),BD25+($BF25*(D25/$H25))+(-$BP25*(D25/$H25))+(BP25*(D25/$H25)),AND(A25&gt;=DA$4,B25&gt;=DB$4,$AQ25-SUM($AW25,$AY25:$AZ25)&lt;0),BD25+($BF25*(D25/$H25))+(-$BP25*(D25/$H25))+(BP25*(D25/$H25)),AND(A25&gt;=DA$4,D25&lt;BD25+$BF25-$BP25),D25,AND(A25&gt;=DA$4,$AP25-SUM($AW25,$AY25:$AZ25)&lt;0),BD25+($BF25*(D25/$H25))+(-$BP25*(D25/$H25))+(BP25*(D25/$H25)),A25&gt;=DA$4,BD25+$BF25-$BP25)</f>
        <v>0</v>
      </c>
      <c r="BI25" s="1" cm="1">
        <f t="array" ref="BI25">_xlfn.IFS(OR(F25=0,B25&lt;DB$4),0,AND(A25&gt;=DA$4,B25&gt;=DB$4,F25&lt;BE25+($BF25*(F25/$H25))+(-$BP25*(F25/$H25))),F25,AND(A25&gt;=DA$4,B25&gt;=DB$4,$BB25&gt;$BG25),BE25+($BF25*(F25/$H25))+(-$BP25*(F25/$H25)),AND(A25&gt;=DA$4,B25&gt;=DB$4,OR(A25&gt;DA$6, B25&gt;DB$6),$AP25-SUM($AW25,$AY25:$AZ25)&lt;0),BE25+($BF25*(F25/$H25))+(-$BP25*(F25/$H25))+(BP25*(F25/$H25)),AND(A25&gt;=DA$4,B25&gt;=DB$4,$AQ25-SUM($AW25,$AY25:$AZ25)&lt;0),BE25+($BF25*(F25/$H25))+(-$BP25*(F25/$H25))+(BP25*(F25/$H25)),AND(B25&gt;=DB$4,F25&lt;BE25+$BF25-$BP25),F25,AND(B25&gt;=DB$4,$AP25-SUM($AW25,$AY25:$AZ25)&lt;0),BE25+($BF25*(F25/$H25))+(-$BP25*(F25/$H25))+(BP25*(F25/$H25)),B25&gt;=DB$4,BE25+$BF25-$BP25)</f>
        <v>0</v>
      </c>
      <c r="BJ25" s="64" cm="1">
        <f t="array" ref="BJ25">IF(AW25+BA25+BG25&gt;0, AW25+BA25+BG25-_xlfn.IFS(AND(A25&gt;=65,B25&gt;=65),VLOOKUP(Setup!I$4,Lookups!C$133:F$136,4),OR(A25&gt;=65,B25&gt;=65),VLOOKUP(Setup!I$4,Lookups!C$133:E$136,3),AND(A25&lt;65,B25&lt;65),VLOOKUP(Setup!I$4,Lookups!C$133:D$136,2)),0)</f>
        <v>0</v>
      </c>
      <c r="BK25" s="1" cm="1">
        <f t="array" ref="BK25">IF(BJ25&gt;0,_xlfn.IFS(Setup!I$4=Lookups!D$109,-_xlfn.IFS($BJ25&gt;=Lookups!D$157, Lookups!F$157+($BJ25-Lookups!D$157)*Lookups!G$157,$BJ25&gt;=Lookups!D$156, Lookups!F$156+($BJ25-Lookups!D$156)*Lookups!G$156,$BJ25&gt;=Lookups!D$155, Lookups!F$155+($BJ25-Lookups!D$155)*Lookups!G$155,$BJ25&gt;=Lookups!D$154, Lookups!F$154+($BJ25-Lookups!D$154)*Lookups!G$154,$BJ25&gt;=Lookups!D$153, Lookups!F$153+($BJ25-Lookups!D$153)*Lookups!G$153,$BJ25&gt;=Lookups!D$152, Lookups!F$152+($BJ25-Lookups!D$152)*Lookups!G$152,$BJ25&lt;Lookups!D$152,$BJ25*Lookups!G$151),Setup!I$4=Lookups!D$110,-_xlfn.IFS($BJ25&gt;=Lookups!D$167, Lookups!F$167+($BJ25-Lookups!D$167)*Lookups!G$167,$BJ25&gt;=Lookups!D$166, Lookups!F$166+($BJ25-Lookups!D$166)*Lookups!G$166,$BJ25&gt;=Lookups!D$165, Lookups!F$165+($BJ25-Lookups!D$165)*Lookups!G$165,$BJ25&gt;=Lookups!D$164, Lookups!F$164+($BJ25-Lookups!D$164)*Lookups!G$164,$BJ25&gt;=Lookups!D$163, Lookups!F$163+($BJ25-Lookups!D$163)*Lookups!G$163,$BJ25&gt;=Lookups!D$162, Lookups!F$162+($BJ25-Lookups!D$162)*Lookups!G$162,$BJ25&lt;Lookups!D$162,$BJ25*Lookups!G$161),Setup!I$4=Lookups!D$111,-_xlfn.IFS($BJ25&gt;=Lookups!D$177, Lookups!F$177+($BJ25-Lookups!D$177)*Lookups!G$177,$BJ25&gt;=Lookups!D$176, Lookups!F$176+($BJ25-Lookups!D$176)*Lookups!G$176,$BJ25&gt;=Lookups!D$175, Lookups!F$175+($BJ25-Lookups!D$175)*Lookups!G$175,$BJ25&gt;=Lookups!D$174, Lookups!F$174+($BJ25-Lookups!D$174)*Lookups!G$174,$BJ25&gt;=Lookups!D$173, Lookups!F$173+($BJ25-Lookups!D$173)*Lookups!G$173,$BJ25&gt;=Lookups!D$172, Lookups!F$172+($BJ25-Lookups!D$172)*Lookups!G$172,$BJ25&lt;Lookups!D$172,$BJ25*Lookups!G$171), Setup!I$4=Lookups!D$112,-_xlfn.IFS($BJ25&gt;=Lookups!D$187, Lookups!F$187+($BJ25-Lookups!D$187)*Lookups!G$187,$BJ25&gt;=Lookups!D$186, Lookups!F$186+($BJ25-Lookups!D$186)*Lookups!G$186,$BJ25&gt;=Lookups!D$185, Lookups!F$185+($BJ25-Lookups!D$185)*Lookups!G$185,$BJ25&gt;=Lookups!D$184, Lookups!F$184+($BJ25-Lookups!D$184)*Lookups!G$184,$BJ25&gt;=Lookups!D$183, Lookups!F$183+($BJ25-Lookups!D$183)*Lookups!G$183,$BJ25&gt;=Lookups!D$182, Lookups!F$182+($BJ25-Lookups!D$182)*Lookups!G$182,$BJ25&lt;Lookups!D$182,$BJ25*Lookups!G$181)),0)</f>
        <v>0</v>
      </c>
      <c r="BL25" s="18">
        <f t="shared" si="10"/>
        <v>0</v>
      </c>
      <c r="BM25" s="134">
        <f t="shared" si="24"/>
        <v>0</v>
      </c>
      <c r="BN25" s="134" cm="1">
        <f t="array" aca="1" ref="BN25" ca="1">INDIRECT(Setup!I$6&amp;"!"&amp;"A"&amp;ROW())</f>
        <v>0</v>
      </c>
      <c r="BO25" s="134">
        <f t="shared" si="25"/>
        <v>0</v>
      </c>
      <c r="BP25" s="1">
        <f t="shared" si="11"/>
        <v>0</v>
      </c>
      <c r="BQ25" s="1">
        <f t="shared" si="26"/>
        <v>0</v>
      </c>
      <c r="BS25" s="1">
        <f t="shared" si="27"/>
        <v>0</v>
      </c>
      <c r="BT25" s="1" cm="1">
        <f t="array" ref="BT25">-IF(BS25&gt;0,_xlfn.IFS((AW25+BA25+BG25+BS25)&gt;=VLOOKUP(Setup!I$4,Lookups!C$210:E$213,3),BS25*Lookups!D$203,(AW25+BA25+BG25+BS25)&gt;=VLOOKUP(Setup!I$4,Lookups!C$210:E$213,2),BS25*Lookups!D$197,(AW25+BA25+BG25+BS25)&lt;VLOOKUP(Setup!I$4,Lookups!C$210:E$213,2),0),0)</f>
        <v>0</v>
      </c>
      <c r="BU25" s="18">
        <f t="shared" si="28"/>
        <v>0</v>
      </c>
      <c r="BV25" s="1">
        <f t="shared" si="29"/>
        <v>0</v>
      </c>
      <c r="BW25" s="1" cm="1">
        <f t="array" aca="1" ref="BW25" ca="1">INDIRECT(Setup!I$6&amp;"!"&amp;"A"&amp;ROW()+100)</f>
        <v>0</v>
      </c>
      <c r="BX25" s="1">
        <f t="shared" ca="1" si="15"/>
        <v>0</v>
      </c>
      <c r="BY25" s="1">
        <f t="shared" ca="1" si="16"/>
        <v>0</v>
      </c>
      <c r="CA25" s="1">
        <f t="shared" si="34"/>
        <v>0</v>
      </c>
      <c r="CC25" s="1" cm="1">
        <f t="array" ref="CC25">_xlfn.IFS(AND(A25&lt;$DA$4,B25&lt;$DB$4),0,AND(AND(A25&gt;=$DA$4,B25&gt;=$DB$4),AND(A25&lt;=$DA$6,B25&lt;=$DB$6),AND(BH25=0,BI25=0)),SUM(AW25,AY25:AZ25,BD25:BF25,BP25,BS25,CA25)-AQ25,AND(AND(A25&gt;=$DA$4,B25&gt;=$DB$4),AND(A25&lt;=$DA$6,B25&lt;=$DB$6)),SUM(AW25,AY25:AZ25,BD25:BF25,BS25,CA25)-AQ25,AND(OR(A25&gt;=$DA$4,B25&gt;=$DB$4),AND(BH25=0,BI25=0)),SUM(AW25,AY25:AZ25,BD25:BF25,BP25,BS25,CA25)-AP25,OR(A25&gt;=$DA$4,B25&gt;=$DB$4),SUM(AW25,AY25:AZ25,BD25:BF25,BS25,CA25)-AP25)</f>
        <v>0</v>
      </c>
      <c r="CD25" s="142" t="str">
        <f t="shared" si="30"/>
        <v/>
      </c>
      <c r="CE25" s="1"/>
    </row>
    <row r="26" spans="1:83" x14ac:dyDescent="0.3">
      <c r="A26" s="354">
        <f t="shared" si="31"/>
        <v>19</v>
      </c>
      <c r="B26" s="354">
        <f t="shared" si="32"/>
        <v>19</v>
      </c>
      <c r="C26" s="359">
        <f t="shared" si="33"/>
        <v>6941</v>
      </c>
      <c r="D26" s="326" cm="1">
        <f t="array" ref="D26">_xlfn.IFS(AND(A26&gt;DA$6,B26&gt;DB$6),0,AND(A26&gt;DA$3,A26&lt;=DA$4),D25*(1+DH$1),OR(A26&gt;DA$6,A26&gt;DA$4),(D25-BH25)*(1+DH$2),A26&lt;=DA$4,(D25*(1+DH$1))+(D$4))</f>
        <v>0</v>
      </c>
      <c r="E26" s="375"/>
      <c r="F26" s="326" cm="1">
        <f t="array" ref="F26">_xlfn.IFS(AND(A26&gt;DA$6,B26&gt;DB$6),0,AND(B26&gt;DB$3,B26&lt;=DB$4),F25*(1+DH$1),OR(B26&gt;DB$6,B26&gt;DB$4),(F25-BI25)*(1+DH$2),B26&lt;=DB$4,(F25*(1+DH$1))+(F$4))</f>
        <v>0</v>
      </c>
      <c r="G26" s="375"/>
      <c r="H26" s="1">
        <f t="shared" si="17"/>
        <v>0</v>
      </c>
      <c r="I26" s="2">
        <f t="shared" si="2"/>
        <v>0</v>
      </c>
      <c r="J26" s="14">
        <f t="shared" si="35"/>
        <v>0</v>
      </c>
      <c r="L26" s="402" cm="1">
        <f t="array" ref="L26">_xlfn.IFS(AND(A26&gt;DA$6,B26&gt;DB$6),0,A26&lt;DA$6,0,A26=DA$6,L$4,AND(A26&gt;DA$6,B26&lt;=DB$4),L25*(1+DH$1),AND(A26&gt;DA$6,B26&gt;DB$4),IF(Y25=0,0,(L25-((L25/Y25)*BY25))*(1+DH$2)))</f>
        <v>0</v>
      </c>
      <c r="M26" s="402" cm="1">
        <f t="array" ref="M26">_xlfn.IFS(AND(A26&gt;DA$6,B26&gt;DB$6),0,B26&lt;DB$6,0,B26=DB$6,M$4,AND(B26&gt;DB$6,A26&lt;=DA$4),M25*(1+DH$1),AND(A26&gt;DA$4,B26&gt;DB$6),IF(Y25=0,0,(M25-((M25/Y25)*BY25))*(1+DH$2)))</f>
        <v>0</v>
      </c>
      <c r="N26" s="327"/>
      <c r="O26" s="327" cm="1">
        <f t="array" ref="O26">_xlfn.IFS(OR(ISBLANK(Setup!C$63),Setup!C$63&gt;YEAR(C26),AND(A26&gt;DA$6,B26&gt;DB$6),ISBLANK(Y25)),0,Setup!C$63=YEAR(C26),Setup!C$62,AND(OR(A26&lt;=DA$4,B26&lt;=DB$4),Setup!C$63&lt;YEAR(C26)),O25*(1+DH$1),AND(A26&gt;DA$4,B26&gt;DB$4,Setup!C$63&lt;YEAR(C26)),IF(Y25=0,0,(O25-((O25/Y25)*BY25))*(1+DH$2)))</f>
        <v>0</v>
      </c>
      <c r="P26" s="327" cm="1">
        <f t="array" ref="P26">_xlfn.IFS(OR(ISBLANK(Setup!C$67),Setup!C$67&gt;YEAR(C26),AND(A26&gt;DA$6,B26&gt;DB$6)),0,Setup!C$67=YEAR(C26),Setup!C$66,AND(OR(A26&lt;=DA$4,B26&lt;=DB$4),Setup!C$67&lt;YEAR(C26)),P25*(1+DH$1),AND(A26&gt;DA$4,B26&gt;DB$4,Setup!C$67&lt;YEAR(C26)),IF(Y25=0,0,(P25-((P25/Y25)*BY25))*(1+DH$2)))</f>
        <v>0</v>
      </c>
      <c r="Q26" s="327" cm="1">
        <f t="array" ref="Q26">_xlfn.IFS(OR(ISBLANK(Setup!C$71),Setup!C$71&gt;YEAR(C26),AND(A26&gt;DA$6,B26&gt;DB$6)),0,Setup!C$71=YEAR(C26),Setup!C$70,AND(OR(A26&lt;=DA$4,B26&lt;=DB$4),Setup!C$71&lt;YEAR(C26)),Q25*(1+DH$1),AND(A26&gt;DA$4,B26&gt;DB$4,Setup!C$71&lt;YEAR(C26)),IF(Y25=0,0,(Q25-((Q25/Y25)*BY25))*(1+DH$2)))</f>
        <v>0</v>
      </c>
      <c r="R26" s="327" cm="1">
        <f t="array" ref="R26">_xlfn.IFS(OR(ISBLANK(Setup!C$75),Setup!C$75&gt;YEAR(C26),AND(A26&gt;DA$6,B26&gt;DB$6)),0,Setup!C$75=YEAR(C26),Setup!C$74,AND(OR(A26&lt;=DA$4,B26&lt;=DB$4),Setup!C$75&lt;YEAR(C26)),R25*(1+DH$1),AND(A26&gt;DA$4,B26&gt;DB$4,Setup!C$75&lt;YEAR(C26)),IF(Y25=0,0,(R25-((R25/Y25)*BY25))*(1+DH$2)))</f>
        <v>0</v>
      </c>
      <c r="S26" s="327"/>
      <c r="T26" s="326" cm="1">
        <f t="array" ref="T26">_xlfn.IFS(AND($A26&gt;$DA$6,$B26&gt;$DB$6),0,AND($W$2=$DA$2,$A26&gt;$DA$4),IF($Y25=0,0,(T25-((T25/$Y25)*$BY25))*(1+$DH$2)),AND($W$2=$DB$2,$B26&gt;$DB$4),IF($Y25=0,0,(T25-((T25/$Y25)*$BY25))*(1+$DH$2)),AND($W$2=$DA$2,OR($A26&gt;$DA$3,$A26&gt;$DA$6)),(T25*(1+$DH$1)),AND($W$2=$DB$2,OR($B26&gt;$DB$3,$B26&gt;$DB$6)),(T25*(1+$DH$1)),AND($W$2=$DA$2,$A26&lt;=$DA$3,$A26&lt;=$DA$4,$A26&lt;=$DA$5),(T25*(1+$DH$1))+(T$4),AND($W$2=$DB$2,$B26&lt;=$DB$3,$B26&lt;=$DB$4,$B26&lt;=$DB$5),(T25*(1+$DH$1))+(T$4))</f>
        <v>0</v>
      </c>
      <c r="U26" s="326" cm="1">
        <f t="array" ref="U26">_xlfn.IFS(AND($A26&gt;$DA$6,$B26&gt;$DB$6),0,AND($W$2=$DA$2,$A26&gt;$DA$4),IF($Y25=0,0,(U25-((U25/$Y25)*$BY25))*(1+$DH$2)),AND($W$2=$DB$2,$B26&gt;$DB$4),IF($Y25=0,0,(U25-((U25/$Y25)*$BY25))*(1+$DH$2)),AND($W$2=$DA$2,OR($A26&gt;$DA$3,$A26&gt;$DA$6)),(U25*(1+$DH$1)),AND($W$2=$DB$2,OR($B26&gt;$DB$3,$B26&gt;$DB$6)),(U25*(1+$DH$1)),AND($W$2=$DA$2,$A26&lt;=$DA$3,$A26&lt;=$DA$4,$A26&lt;=$DA$5),(U25*(1+$DH$1))+(U$4),AND($W$2=$DB$2,$B26&lt;=$DB$3,$B26&lt;=$DB$4,$B26&lt;=$DB$5),(U25*(1+$DH$1))+(U$4))</f>
        <v>0</v>
      </c>
      <c r="V26" s="326" cm="1">
        <f t="array" ref="V26">_xlfn.IFS(AND($A26&gt;$DA$6,$B26&gt;$DB$6),0,AND($W$2=$DA$2,$A26&gt;$DA$4),IF($Y25=0,0,(V25-((V25/$Y25)*$BY25))*(1+$DH$2)),AND($W$2=$DB$2,$B26&gt;$DB$4),IF($Y25=0,0,(V25-((V25/$Y25)*$BY25))*(1+$DH$2)),AND($W$2=$DA$2,OR($A26&gt;$DA$3,$A26&gt;$DA$6)),(V25*(1+$DH$1)),AND($W$2=$DB$2,OR($B26&gt;$DB$3,$B26&gt;$DB$6)),(V25*(1+$DH$1)),AND($W$2=$DA$2,$A26&lt;=$DA$3,$A26&lt;=$DA$4,$A26&lt;=$DA$5),(V25*(1+$DH$1))+(V$4),AND($W$2=$DB$2,$B26&lt;=$DB$3,$B26&lt;=$DB$4,$B26&lt;=$DB$5),(V25*(1+$DH$1))+(V$4))</f>
        <v>0</v>
      </c>
      <c r="W26" s="326" cm="1">
        <f t="array" ref="W26">_xlfn.IFS(AND($A26&gt;$DA$6,$B26&gt;$DB$6),0,AND($W$2=$DA$2,$A26&gt;$DA$4),IF($Y25=0,0,(W25-((W25/$Y25)*$BY25))*(1+$DH$2)),AND($W$2=$DB$2,$B26&gt;$DB$4),IF($Y25=0,0,(W25-((W25/$Y25)*$BY25))*(1+$DH$2)),AND($W$2=$DA$2,OR($A26&gt;$DA$3,$A26&gt;$DA$6)),(W25*(1+$DH$1)),AND($W$2=$DB$2,OR($B26&gt;$DB$3,$B26&gt;$DB$6)),(W25*(1+$DH$1)),AND($W$2=$DA$2,$A26&lt;=$DA$3,$A26&lt;=$DA$4,$A26&lt;=$DA$5),(W25*(1+$DH$1))+(W$4),AND($W$2=$DB$2,$B26&lt;=$DB$3,$B26&lt;=$DB$4,$B26&lt;=$DB$5),(W25*(1+$DH$1))+(W$4))</f>
        <v>0</v>
      </c>
      <c r="Y26" s="1">
        <f t="shared" si="18"/>
        <v>0</v>
      </c>
      <c r="Z26" s="2">
        <f t="shared" si="19"/>
        <v>0</v>
      </c>
      <c r="AA26" s="375"/>
      <c r="AC26" s="326" cm="1">
        <f t="array" ref="AC26">_xlfn.IFS(AND(A26&gt;DA$6,B26&gt;DB$6),0,AND(A26&gt;DA$4,B26&gt;DB$4),IF(AG25=0,0,(AC25-((AC25/AG25)*CA25))*(1+DH$2)),OR(A26&gt;DA$3,A26&gt;DA$6),AC25*(1+DH$1),A26&gt;DA$4,(AC25-CA25)*(1+DH$2),AND(A26&lt;=DA$3,A26&lt;=DA$4,A26&lt;=DA$6),(AC25*(1+DH$1))+(AC$4))</f>
        <v>0</v>
      </c>
      <c r="AD26" s="375"/>
      <c r="AE26" s="326" cm="1">
        <f t="array" ref="AE26">_xlfn.IFS(AND(A26&gt;DA$6,B26&gt;DB$6),0,AND(A26&gt;DA$4,B26&gt;DB$4),IF(AG25=0,0,(AE25-((AE25/AG25)*CA25))*(1+DH$2)),OR(B26&gt;DB$3,B26&gt;DB$6),AE25*(1+DH$1),B26&gt;DB$4,(AE25-CA25)*(1+DH$2),AND(B26&lt;=DB$3,B26&lt;=DB$4,B26&lt;=DB$6),(AE25*(1+DH$1))+(AE$4))</f>
        <v>0</v>
      </c>
      <c r="AF26" s="375"/>
      <c r="AG26" s="1">
        <f t="shared" si="5"/>
        <v>0</v>
      </c>
      <c r="AH26" s="2">
        <f t="shared" si="20"/>
        <v>0</v>
      </c>
      <c r="AI26" s="14">
        <f t="shared" si="6"/>
        <v>0</v>
      </c>
      <c r="AK26" s="1">
        <f t="shared" si="21"/>
        <v>0</v>
      </c>
      <c r="AL26" s="14">
        <f t="shared" si="22"/>
        <v>0</v>
      </c>
      <c r="AM26" s="14" t="str">
        <f t="shared" si="23"/>
        <v/>
      </c>
      <c r="AO26" s="15">
        <f t="shared" si="7"/>
        <v>0</v>
      </c>
      <c r="AP26" s="1">
        <f>IF(AND(B26&gt;=$DB$6,A26&gt;=$DA$6),0,AP25*(1+Lookups!C$12))</f>
        <v>0</v>
      </c>
      <c r="AQ26" s="1">
        <f>IF(AND(B26&gt;=$DB$6,A26&gt;=$DA$6),0,AQ25*(1+Lookups!C$12))</f>
        <v>0</v>
      </c>
      <c r="AS26" s="1" cm="1">
        <f t="array" ref="AS26">_xlfn.IFS(OR(AS$6="",AND(A26&gt;=DA$6,B26&gt;=DB$6),AND(A26&lt;DA$4,B26&lt;DB$4)),0,AND(A26=DA$4,DA$4&lt;=DB$4),AS$6,AND(B26=DB$4,DA$4&gt;=DB$4),AS$6,OR(A26&gt;DA$4,B26&gt;DB$4),AS25*(1+Setup!C$103))</f>
        <v>0</v>
      </c>
      <c r="AT26" s="1" cm="1">
        <f t="array" ref="AT26">_xlfn.IFS(OR(AT$6="",AND(A26&gt;=DA$6,B26&gt;=DB$6),AND(A26&lt;DA$4,B26&lt;DB$4)),0,AND(A26=DA$4,DA$4&lt;=DB$4),AT$6,AND(B26=DB$4,DA$4&gt;=DB$4),AT$6,OR(A26&gt;DA$4,B26&gt;DB$4),AT25*(1+Setup!C$103))</f>
        <v>0</v>
      </c>
      <c r="AU26" s="1" cm="1">
        <f t="array" ref="AU26">_xlfn.IFS(OR(AU$6="",AND(A26&gt;=DA$6,B26&gt;=DB$6),AND(A26&lt;DA$4,B26&lt;DB$4)),0,AND(A26=DA$4,DA$4&lt;=DB$4),AU$6,AND(B26=DB$4,DA$4&gt;=DB$4),AU$6,OR(A26&gt;DA$4,B26&gt;DB$4),AU25*(1+Setup!C$103))</f>
        <v>0</v>
      </c>
      <c r="AV26" s="1" cm="1">
        <f t="array" ref="AV26">_xlfn.IFS(OR(AV$6="",AND(A26&gt;=DA$6,B26&gt;=DB$6),AND(A26&lt;DA$4,B26&lt;DB$4)),0,AND(A26=DA$4,DA$4&lt;=DB$4),AV$6,AND(B26=DB$4,DA$4&gt;=DB$4),AV$6,OR(A26&gt;DA$4,B26&gt;DB$4),AV25*(1+Setup!C$103))</f>
        <v>0</v>
      </c>
      <c r="AW26" s="1">
        <f t="shared" si="8"/>
        <v>0</v>
      </c>
      <c r="AY26" s="1" cm="1">
        <f t="array" ref="AY26">_xlfn.IFS(OR(AND(A26&gt;=DA$6,B26&gt;=DB$6),A26&lt;DA$5),0,AND(A26=DA$5,YEAR(C26)&gt;=Lookups!D$89),VLOOKUP(A26,Lookups!B$94:F$102,3),AND(A26=DA$5,YEAR(C26)&lt;Lookups!D$89),VLOOKUP(A26,Lookups!B$94:F$102,2),AND(A26&gt;DA$5,YEAR(C26)=Lookups!D$89),(AY25*Lookups!D$90)*(1+Lookups!C$20),AND(A26&gt;DA$5,YEAR(C26)&lt;&gt;Lookups!D$89),AY25*(1+Lookups!C$20))</f>
        <v>0</v>
      </c>
      <c r="AZ26" s="1" cm="1">
        <f t="array" ref="AZ26">_xlfn.IFS(OR(ISBLANK(Setup!K$91),Setup!K$91=0,AND(A26&gt;=DA$6,B26&gt;=DB$6),B26&lt;DB$5),0,AND(B26=DB$5,YEAR(C26)&gt;=Lookups!D$89),VLOOKUP(B26,Lookups!B$94:F$102,5),AND(B26=DB$5,YEAR(C26)&lt;Lookups!D$89),VLOOKUP(B26,Lookups!B$94:F$102,4),AND(B26&gt;DB$5,YEAR(C26)=Lookups!D$89),(AZ25*Lookups!D$90)*(1+Lookups!C$20),AND(B26&gt;DB$5,YEAR(C26)&lt;&gt;Lookups!D$89),AZ25*(1+Lookups!C$20))</f>
        <v>0</v>
      </c>
      <c r="BA26" s="65">
        <f>IF(OR(AY26&gt;0,AZ26&gt;0),(AY26+AZ26)*Lookups!D$120,0)</f>
        <v>0</v>
      </c>
      <c r="BB26" s="1" cm="1">
        <f t="array" ref="BB26">_xlfn.IFS(AND(A26&lt;DA$4,B26&lt;DB$4),0,OR(_xlfn.XOR(A26&gt;DA$6,B26&gt;DB$6),_xlfn.XOR(A26&gt;=DA$4,B26&gt;=DB$4)),IF(AP26-SUM(AW26,AY26:AZ26)&gt;0,AP26-SUM(AW26,AY26:AZ26),0),AQ26-SUM(AW26,AY26:AZ26)&gt;0, AQ26-SUM(AW26,AY26:AZ26),AQ26-SUM(AW26,AY26:AZ26)&lt;=0,0)</f>
        <v>0</v>
      </c>
      <c r="BD26" s="1" cm="1">
        <f t="array" ref="BD26">_xlfn.IFS(AND(A26&gt;=DA$6,B26&gt;=DB$6),0,AND(A26&gt;=DA$6,B26&gt;=Lookups!C$35),D26/VLOOKUP(B26,Lookups!C$37:D$67,2),A26&lt;Lookups!$C$35,0,A26&gt;=Lookups!C$35,D26/VLOOKUP(A26,Lookups!C$37:D$67,2))</f>
        <v>0</v>
      </c>
      <c r="BE26" s="1" cm="1">
        <f t="array" ref="BE26">_xlfn.IFS(AND(A26&gt;=DA$6,B26&gt;=DB$6),0,AND(B26&gt;=DB$6,A26&gt;=Lookups!C$35),F26/VLOOKUP(A26,Lookups!C$37:D$67,2),B26&lt;Lookups!$C$35,0,B26&gt;=Lookups!C$35,F26/VLOOKUP(B26,Lookups!C$37:D$67,2))</f>
        <v>0</v>
      </c>
      <c r="BF26" s="1" cm="1">
        <f t="array" ref="BF26">_xlfn.IFS($BB26&lt;=0,0,AND(A26&gt;=DA$4,B26&gt;=DB$4,$BB26*I26&lt;(BD26+BE26)),0,AND(A26&gt;=DA$4,B26&gt;=DB$4,H26&gt;=(BB26*I26)-BD26-BE26),(BB26*I26)-BD26-BE26,AND(A26&gt;=DA$4,B26&gt;=DB$4,H26&lt;(BB26*I26)-BD26-BE26),H26,AND(A26&gt;=DA$4,$BB26*I26&lt;(BD26)),0,AND(A26&gt;=DA$4,H26&gt;=(BB26*I26)-BD26),(BB26*I26)-BD26,AND(A26&gt;=DA$4,H26&lt;(BB26*I26)-BD26),H26,AND(B26&gt;=DB$4,$BB26*I26&lt;(BE26)),0,AND(B26&gt;=DB$4,H26&gt;=(BB26*I26)-BE26),(BB26*I26)-BE26,AND(B26&gt;=DB$4,H26&lt;(BB26*I26)-BE26),H26)</f>
        <v>0</v>
      </c>
      <c r="BG26" s="1">
        <f t="shared" si="9"/>
        <v>0</v>
      </c>
      <c r="BH26" s="1" cm="1">
        <f t="array" ref="BH26">_xlfn.IFS(OR(D26=0,A26&lt;DA$4),0,AND(A26&gt;=DA$4,B26&gt;=DB$4,D26&lt;BD26+($BF26*(D26/$H26))+(-$BP26*(D26/$H26))),D26,AND(A26&gt;=DA$4,B26&gt;=DB$4,$BB26&gt;$BG26),BD26+($BF26*(D26/$H26))+(-$BP26*(D26/$H26)),AND(A26&gt;=DA$4,B26&gt;=DB$4,OR(A26&gt;DA$6, B26&gt;DB$6),$AP26-SUM($AW26,$AY26:$AZ26)&lt;0),BD26+($BF26*(D26/$H26))+(-$BP26*(D26/$H26))+(BP26*(D26/$H26)),AND(A26&gt;=DA$4,B26&gt;=DB$4,$AQ26-SUM($AW26,$AY26:$AZ26)&lt;0),BD26+($BF26*(D26/$H26))+(-$BP26*(D26/$H26))+(BP26*(D26/$H26)),AND(A26&gt;=DA$4,D26&lt;BD26+$BF26-$BP26),D26,AND(A26&gt;=DA$4,$AP26-SUM($AW26,$AY26:$AZ26)&lt;0),BD26+($BF26*(D26/$H26))+(-$BP26*(D26/$H26))+(BP26*(D26/$H26)),A26&gt;=DA$4,BD26+$BF26-$BP26)</f>
        <v>0</v>
      </c>
      <c r="BI26" s="1" cm="1">
        <f t="array" ref="BI26">_xlfn.IFS(OR(F26=0,B26&lt;DB$4),0,AND(A26&gt;=DA$4,B26&gt;=DB$4,F26&lt;BE26+($BF26*(F26/$H26))+(-$BP26*(F26/$H26))),F26,AND(A26&gt;=DA$4,B26&gt;=DB$4,$BB26&gt;$BG26),BE26+($BF26*(F26/$H26))+(-$BP26*(F26/$H26)),AND(A26&gt;=DA$4,B26&gt;=DB$4,OR(A26&gt;DA$6, B26&gt;DB$6),$AP26-SUM($AW26,$AY26:$AZ26)&lt;0),BE26+($BF26*(F26/$H26))+(-$BP26*(F26/$H26))+(BP26*(F26/$H26)),AND(A26&gt;=DA$4,B26&gt;=DB$4,$AQ26-SUM($AW26,$AY26:$AZ26)&lt;0),BE26+($BF26*(F26/$H26))+(-$BP26*(F26/$H26))+(BP26*(F26/$H26)),AND(B26&gt;=DB$4,F26&lt;BE26+$BF26-$BP26),F26,AND(B26&gt;=DB$4,$AP26-SUM($AW26,$AY26:$AZ26)&lt;0),BE26+($BF26*(F26/$H26))+(-$BP26*(F26/$H26))+(BP26*(F26/$H26)),B26&gt;=DB$4,BE26+$BF26-$BP26)</f>
        <v>0</v>
      </c>
      <c r="BJ26" s="64" cm="1">
        <f t="array" ref="BJ26">IF(AW26+BA26+BG26&gt;0, AW26+BA26+BG26-_xlfn.IFS(AND(A26&gt;=65,B26&gt;=65),VLOOKUP(Setup!I$4,Lookups!C$133:F$136,4),OR(A26&gt;=65,B26&gt;=65),VLOOKUP(Setup!I$4,Lookups!C$133:E$136,3),AND(A26&lt;65,B26&lt;65),VLOOKUP(Setup!I$4,Lookups!C$133:D$136,2)),0)</f>
        <v>0</v>
      </c>
      <c r="BK26" s="1" cm="1">
        <f t="array" ref="BK26">IF(BJ26&gt;0,_xlfn.IFS(Setup!I$4=Lookups!D$109,-_xlfn.IFS($BJ26&gt;=Lookups!D$157, Lookups!F$157+($BJ26-Lookups!D$157)*Lookups!G$157,$BJ26&gt;=Lookups!D$156, Lookups!F$156+($BJ26-Lookups!D$156)*Lookups!G$156,$BJ26&gt;=Lookups!D$155, Lookups!F$155+($BJ26-Lookups!D$155)*Lookups!G$155,$BJ26&gt;=Lookups!D$154, Lookups!F$154+($BJ26-Lookups!D$154)*Lookups!G$154,$BJ26&gt;=Lookups!D$153, Lookups!F$153+($BJ26-Lookups!D$153)*Lookups!G$153,$BJ26&gt;=Lookups!D$152, Lookups!F$152+($BJ26-Lookups!D$152)*Lookups!G$152,$BJ26&lt;Lookups!D$152,$BJ26*Lookups!G$151),Setup!I$4=Lookups!D$110,-_xlfn.IFS($BJ26&gt;=Lookups!D$167, Lookups!F$167+($BJ26-Lookups!D$167)*Lookups!G$167,$BJ26&gt;=Lookups!D$166, Lookups!F$166+($BJ26-Lookups!D$166)*Lookups!G$166,$BJ26&gt;=Lookups!D$165, Lookups!F$165+($BJ26-Lookups!D$165)*Lookups!G$165,$BJ26&gt;=Lookups!D$164, Lookups!F$164+($BJ26-Lookups!D$164)*Lookups!G$164,$BJ26&gt;=Lookups!D$163, Lookups!F$163+($BJ26-Lookups!D$163)*Lookups!G$163,$BJ26&gt;=Lookups!D$162, Lookups!F$162+($BJ26-Lookups!D$162)*Lookups!G$162,$BJ26&lt;Lookups!D$162,$BJ26*Lookups!G$161),Setup!I$4=Lookups!D$111,-_xlfn.IFS($BJ26&gt;=Lookups!D$177, Lookups!F$177+($BJ26-Lookups!D$177)*Lookups!G$177,$BJ26&gt;=Lookups!D$176, Lookups!F$176+($BJ26-Lookups!D$176)*Lookups!G$176,$BJ26&gt;=Lookups!D$175, Lookups!F$175+($BJ26-Lookups!D$175)*Lookups!G$175,$BJ26&gt;=Lookups!D$174, Lookups!F$174+($BJ26-Lookups!D$174)*Lookups!G$174,$BJ26&gt;=Lookups!D$173, Lookups!F$173+($BJ26-Lookups!D$173)*Lookups!G$173,$BJ26&gt;=Lookups!D$172, Lookups!F$172+($BJ26-Lookups!D$172)*Lookups!G$172,$BJ26&lt;Lookups!D$172,$BJ26*Lookups!G$171), Setup!I$4=Lookups!D$112,-_xlfn.IFS($BJ26&gt;=Lookups!D$187, Lookups!F$187+($BJ26-Lookups!D$187)*Lookups!G$187,$BJ26&gt;=Lookups!D$186, Lookups!F$186+($BJ26-Lookups!D$186)*Lookups!G$186,$BJ26&gt;=Lookups!D$185, Lookups!F$185+($BJ26-Lookups!D$185)*Lookups!G$185,$BJ26&gt;=Lookups!D$184, Lookups!F$184+($BJ26-Lookups!D$184)*Lookups!G$184,$BJ26&gt;=Lookups!D$183, Lookups!F$183+($BJ26-Lookups!D$183)*Lookups!G$183,$BJ26&gt;=Lookups!D$182, Lookups!F$182+($BJ26-Lookups!D$182)*Lookups!G$182,$BJ26&lt;Lookups!D$182,$BJ26*Lookups!G$181)),0)</f>
        <v>0</v>
      </c>
      <c r="BL26" s="18">
        <f t="shared" si="10"/>
        <v>0</v>
      </c>
      <c r="BM26" s="134">
        <f t="shared" si="24"/>
        <v>0</v>
      </c>
      <c r="BN26" s="134" cm="1">
        <f t="array" aca="1" ref="BN26" ca="1">INDIRECT(Setup!I$6&amp;"!"&amp;"A"&amp;ROW())</f>
        <v>0</v>
      </c>
      <c r="BO26" s="134">
        <f t="shared" si="25"/>
        <v>0</v>
      </c>
      <c r="BP26" s="1">
        <f t="shared" si="11"/>
        <v>0</v>
      </c>
      <c r="BQ26" s="1">
        <f t="shared" si="26"/>
        <v>0</v>
      </c>
      <c r="BS26" s="1">
        <f t="shared" si="27"/>
        <v>0</v>
      </c>
      <c r="BT26" s="1" cm="1">
        <f t="array" ref="BT26">-IF(BS26&gt;0,_xlfn.IFS((AW26+BA26+BG26+BS26)&gt;=VLOOKUP(Setup!I$4,Lookups!C$210:E$213,3),BS26*Lookups!D$203,(AW26+BA26+BG26+BS26)&gt;=VLOOKUP(Setup!I$4,Lookups!C$210:E$213,2),BS26*Lookups!D$197,(AW26+BA26+BG26+BS26)&lt;VLOOKUP(Setup!I$4,Lookups!C$210:E$213,2),0),0)</f>
        <v>0</v>
      </c>
      <c r="BU26" s="18">
        <f t="shared" si="28"/>
        <v>0</v>
      </c>
      <c r="BV26" s="1">
        <f t="shared" si="29"/>
        <v>0</v>
      </c>
      <c r="BW26" s="1" cm="1">
        <f t="array" aca="1" ref="BW26" ca="1">INDIRECT(Setup!I$6&amp;"!"&amp;"A"&amp;ROW()+100)</f>
        <v>0</v>
      </c>
      <c r="BX26" s="1">
        <f t="shared" ca="1" si="15"/>
        <v>0</v>
      </c>
      <c r="BY26" s="1">
        <f t="shared" ca="1" si="16"/>
        <v>0</v>
      </c>
      <c r="CA26" s="1">
        <f t="shared" si="34"/>
        <v>0</v>
      </c>
      <c r="CC26" s="1" cm="1">
        <f t="array" ref="CC26">_xlfn.IFS(AND(A26&lt;$DA$4,B26&lt;$DB$4),0,AND(AND(A26&gt;=$DA$4,B26&gt;=$DB$4),AND(A26&lt;=$DA$6,B26&lt;=$DB$6),AND(BH26=0,BI26=0)),SUM(AW26,AY26:AZ26,BD26:BF26,BP26,BS26,CA26)-AQ26,AND(AND(A26&gt;=$DA$4,B26&gt;=$DB$4),AND(A26&lt;=$DA$6,B26&lt;=$DB$6)),SUM(AW26,AY26:AZ26,BD26:BF26,BS26,CA26)-AQ26,AND(OR(A26&gt;=$DA$4,B26&gt;=$DB$4),AND(BH26=0,BI26=0)),SUM(AW26,AY26:AZ26,BD26:BF26,BP26,BS26,CA26)-AP26,OR(A26&gt;=$DA$4,B26&gt;=$DB$4),SUM(AW26,AY26:AZ26,BD26:BF26,BS26,CA26)-AP26)</f>
        <v>0</v>
      </c>
      <c r="CD26" s="142" t="str">
        <f t="shared" si="30"/>
        <v/>
      </c>
    </row>
    <row r="27" spans="1:83" x14ac:dyDescent="0.3">
      <c r="A27" s="354">
        <f t="shared" si="31"/>
        <v>20</v>
      </c>
      <c r="B27" s="354">
        <f t="shared" si="32"/>
        <v>20</v>
      </c>
      <c r="C27" s="359">
        <f t="shared" si="33"/>
        <v>7306</v>
      </c>
      <c r="D27" s="326" cm="1">
        <f t="array" ref="D27">_xlfn.IFS(AND(A27&gt;DA$6,B27&gt;DB$6),0,AND(A27&gt;DA$3,A27&lt;=DA$4),D26*(1+DH$1),OR(A27&gt;DA$6,A27&gt;DA$4),(D26-BH26)*(1+DH$2),A27&lt;=DA$4,(D26*(1+DH$1))+(D$4))</f>
        <v>0</v>
      </c>
      <c r="E27" s="375"/>
      <c r="F27" s="326" cm="1">
        <f t="array" ref="F27">_xlfn.IFS(AND(A27&gt;DA$6,B27&gt;DB$6),0,AND(B27&gt;DB$3,B27&lt;=DB$4),F26*(1+DH$1),OR(B27&gt;DB$6,B27&gt;DB$4),(F26-BI26)*(1+DH$2),B27&lt;=DB$4,(F26*(1+DH$1))+(F$4))</f>
        <v>0</v>
      </c>
      <c r="G27" s="375"/>
      <c r="H27" s="1">
        <f t="shared" si="17"/>
        <v>0</v>
      </c>
      <c r="I27" s="2">
        <f t="shared" si="2"/>
        <v>0</v>
      </c>
      <c r="J27" s="14">
        <f t="shared" si="35"/>
        <v>0</v>
      </c>
      <c r="L27" s="402" cm="1">
        <f t="array" ref="L27">_xlfn.IFS(AND(A27&gt;DA$6,B27&gt;DB$6),0,A27&lt;DA$6,0,A27=DA$6,L$4,AND(A27&gt;DA$6,B27&lt;=DB$4),L26*(1+DH$1),AND(A27&gt;DA$6,B27&gt;DB$4),IF(Y26=0,0,(L26-((L26/Y26)*BY26))*(1+DH$2)))</f>
        <v>0</v>
      </c>
      <c r="M27" s="402" cm="1">
        <f t="array" ref="M27">_xlfn.IFS(AND(A27&gt;DA$6,B27&gt;DB$6),0,B27&lt;DB$6,0,B27=DB$6,M$4,AND(B27&gt;DB$6,A27&lt;=DA$4),M26*(1+DH$1),AND(A27&gt;DA$4,B27&gt;DB$6),IF(Y26=0,0,(M26-((M26/Y26)*BY26))*(1+DH$2)))</f>
        <v>0</v>
      </c>
      <c r="N27" s="327"/>
      <c r="O27" s="327" cm="1">
        <f t="array" ref="O27">_xlfn.IFS(OR(ISBLANK(Setup!C$63),Setup!C$63&gt;YEAR(C27),AND(A27&gt;DA$6,B27&gt;DB$6),ISBLANK(Y26)),0,Setup!C$63=YEAR(C27),Setup!C$62,AND(OR(A27&lt;=DA$4,B27&lt;=DB$4),Setup!C$63&lt;YEAR(C27)),O26*(1+DH$1),AND(A27&gt;DA$4,B27&gt;DB$4,Setup!C$63&lt;YEAR(C27)),IF(Y26=0,0,(O26-((O26/Y26)*BY26))*(1+DH$2)))</f>
        <v>0</v>
      </c>
      <c r="P27" s="327" cm="1">
        <f t="array" ref="P27">_xlfn.IFS(OR(ISBLANK(Setup!C$67),Setup!C$67&gt;YEAR(C27),AND(A27&gt;DA$6,B27&gt;DB$6)),0,Setup!C$67=YEAR(C27),Setup!C$66,AND(OR(A27&lt;=DA$4,B27&lt;=DB$4),Setup!C$67&lt;YEAR(C27)),P26*(1+DH$1),AND(A27&gt;DA$4,B27&gt;DB$4,Setup!C$67&lt;YEAR(C27)),IF(Y26=0,0,(P26-((P26/Y26)*BY26))*(1+DH$2)))</f>
        <v>0</v>
      </c>
      <c r="Q27" s="327" cm="1">
        <f t="array" ref="Q27">_xlfn.IFS(OR(ISBLANK(Setup!C$71),Setup!C$71&gt;YEAR(C27),AND(A27&gt;DA$6,B27&gt;DB$6)),0,Setup!C$71=YEAR(C27),Setup!C$70,AND(OR(A27&lt;=DA$4,B27&lt;=DB$4),Setup!C$71&lt;YEAR(C27)),Q26*(1+DH$1),AND(A27&gt;DA$4,B27&gt;DB$4,Setup!C$71&lt;YEAR(C27)),IF(Y26=0,0,(Q26-((Q26/Y26)*BY26))*(1+DH$2)))</f>
        <v>0</v>
      </c>
      <c r="R27" s="327" cm="1">
        <f t="array" ref="R27">_xlfn.IFS(OR(ISBLANK(Setup!C$75),Setup!C$75&gt;YEAR(C27),AND(A27&gt;DA$6,B27&gt;DB$6)),0,Setup!C$75=YEAR(C27),Setup!C$74,AND(OR(A27&lt;=DA$4,B27&lt;=DB$4),Setup!C$75&lt;YEAR(C27)),R26*(1+DH$1),AND(A27&gt;DA$4,B27&gt;DB$4,Setup!C$75&lt;YEAR(C27)),IF(Y26=0,0,(R26-((R26/Y26)*BY26))*(1+DH$2)))</f>
        <v>0</v>
      </c>
      <c r="S27" s="327"/>
      <c r="T27" s="326" cm="1">
        <f t="array" ref="T27">_xlfn.IFS(AND($A27&gt;$DA$6,$B27&gt;$DB$6),0,AND($W$2=$DA$2,$A27&gt;$DA$4),IF($Y26=0,0,(T26-((T26/$Y26)*$BY26))*(1+$DH$2)),AND($W$2=$DB$2,$B27&gt;$DB$4),IF($Y26=0,0,(T26-((T26/$Y26)*$BY26))*(1+$DH$2)),AND($W$2=$DA$2,OR($A27&gt;$DA$3,$A27&gt;$DA$6)),(T26*(1+$DH$1)),AND($W$2=$DB$2,OR($B27&gt;$DB$3,$B27&gt;$DB$6)),(T26*(1+$DH$1)),AND($W$2=$DA$2,$A27&lt;=$DA$3,$A27&lt;=$DA$4,$A27&lt;=$DA$5),(T26*(1+$DH$1))+(T$4),AND($W$2=$DB$2,$B27&lt;=$DB$3,$B27&lt;=$DB$4,$B27&lt;=$DB$5),(T26*(1+$DH$1))+(T$4))</f>
        <v>0</v>
      </c>
      <c r="U27" s="326" cm="1">
        <f t="array" ref="U27">_xlfn.IFS(AND($A27&gt;$DA$6,$B27&gt;$DB$6),0,AND($W$2=$DA$2,$A27&gt;$DA$4),IF($Y26=0,0,(U26-((U26/$Y26)*$BY26))*(1+$DH$2)),AND($W$2=$DB$2,$B27&gt;$DB$4),IF($Y26=0,0,(U26-((U26/$Y26)*$BY26))*(1+$DH$2)),AND($W$2=$DA$2,OR($A27&gt;$DA$3,$A27&gt;$DA$6)),(U26*(1+$DH$1)),AND($W$2=$DB$2,OR($B27&gt;$DB$3,$B27&gt;$DB$6)),(U26*(1+$DH$1)),AND($W$2=$DA$2,$A27&lt;=$DA$3,$A27&lt;=$DA$4,$A27&lt;=$DA$5),(U26*(1+$DH$1))+(U$4),AND($W$2=$DB$2,$B27&lt;=$DB$3,$B27&lt;=$DB$4,$B27&lt;=$DB$5),(U26*(1+$DH$1))+(U$4))</f>
        <v>0</v>
      </c>
      <c r="V27" s="326" cm="1">
        <f t="array" ref="V27">_xlfn.IFS(AND($A27&gt;$DA$6,$B27&gt;$DB$6),0,AND($W$2=$DA$2,$A27&gt;$DA$4),IF($Y26=0,0,(V26-((V26/$Y26)*$BY26))*(1+$DH$2)),AND($W$2=$DB$2,$B27&gt;$DB$4),IF($Y26=0,0,(V26-((V26/$Y26)*$BY26))*(1+$DH$2)),AND($W$2=$DA$2,OR($A27&gt;$DA$3,$A27&gt;$DA$6)),(V26*(1+$DH$1)),AND($W$2=$DB$2,OR($B27&gt;$DB$3,$B27&gt;$DB$6)),(V26*(1+$DH$1)),AND($W$2=$DA$2,$A27&lt;=$DA$3,$A27&lt;=$DA$4,$A27&lt;=$DA$5),(V26*(1+$DH$1))+(V$4),AND($W$2=$DB$2,$B27&lt;=$DB$3,$B27&lt;=$DB$4,$B27&lt;=$DB$5),(V26*(1+$DH$1))+(V$4))</f>
        <v>0</v>
      </c>
      <c r="W27" s="326" cm="1">
        <f t="array" ref="W27">_xlfn.IFS(AND($A27&gt;$DA$6,$B27&gt;$DB$6),0,AND($W$2=$DA$2,$A27&gt;$DA$4),IF($Y26=0,0,(W26-((W26/$Y26)*$BY26))*(1+$DH$2)),AND($W$2=$DB$2,$B27&gt;$DB$4),IF($Y26=0,0,(W26-((W26/$Y26)*$BY26))*(1+$DH$2)),AND($W$2=$DA$2,OR($A27&gt;$DA$3,$A27&gt;$DA$6)),(W26*(1+$DH$1)),AND($W$2=$DB$2,OR($B27&gt;$DB$3,$B27&gt;$DB$6)),(W26*(1+$DH$1)),AND($W$2=$DA$2,$A27&lt;=$DA$3,$A27&lt;=$DA$4,$A27&lt;=$DA$5),(W26*(1+$DH$1))+(W$4),AND($W$2=$DB$2,$B27&lt;=$DB$3,$B27&lt;=$DB$4,$B27&lt;=$DB$5),(W26*(1+$DH$1))+(W$4))</f>
        <v>0</v>
      </c>
      <c r="Y27" s="1">
        <f t="shared" si="18"/>
        <v>0</v>
      </c>
      <c r="Z27" s="2">
        <f t="shared" si="19"/>
        <v>0</v>
      </c>
      <c r="AA27" s="375"/>
      <c r="AC27" s="326" cm="1">
        <f t="array" ref="AC27">_xlfn.IFS(AND(A27&gt;DA$6,B27&gt;DB$6),0,AND(A27&gt;DA$4,B27&gt;DB$4),IF(AG26=0,0,(AC26-((AC26/AG26)*CA26))*(1+DH$2)),OR(A27&gt;DA$3,A27&gt;DA$6),AC26*(1+DH$1),A27&gt;DA$4,(AC26-CA26)*(1+DH$2),AND(A27&lt;=DA$3,A27&lt;=DA$4,A27&lt;=DA$6),(AC26*(1+DH$1))+(AC$4))</f>
        <v>0</v>
      </c>
      <c r="AD27" s="375"/>
      <c r="AE27" s="326" cm="1">
        <f t="array" ref="AE27">_xlfn.IFS(AND(A27&gt;DA$6,B27&gt;DB$6),0,AND(A27&gt;DA$4,B27&gt;DB$4),IF(AG26=0,0,(AE26-((AE26/AG26)*CA26))*(1+DH$2)),OR(B27&gt;DB$3,B27&gt;DB$6),AE26*(1+DH$1),B27&gt;DB$4,(AE26-CA26)*(1+DH$2),AND(B27&lt;=DB$3,B27&lt;=DB$4,B27&lt;=DB$6),(AE26*(1+DH$1))+(AE$4))</f>
        <v>0</v>
      </c>
      <c r="AF27" s="375"/>
      <c r="AG27" s="1">
        <f t="shared" si="5"/>
        <v>0</v>
      </c>
      <c r="AH27" s="2">
        <f t="shared" si="20"/>
        <v>0</v>
      </c>
      <c r="AI27" s="14">
        <f t="shared" si="6"/>
        <v>0</v>
      </c>
      <c r="AK27" s="1">
        <f t="shared" si="21"/>
        <v>0</v>
      </c>
      <c r="AL27" s="14">
        <f t="shared" si="22"/>
        <v>0</v>
      </c>
      <c r="AM27" s="14" t="str">
        <f t="shared" si="23"/>
        <v/>
      </c>
      <c r="AO27" s="15">
        <f t="shared" si="7"/>
        <v>0</v>
      </c>
      <c r="AP27" s="1">
        <f>IF(AND(B27&gt;=$DB$6,A27&gt;=$DA$6),0,AP26*(1+Lookups!C$12))</f>
        <v>0</v>
      </c>
      <c r="AQ27" s="1">
        <f>IF(AND(B27&gt;=$DB$6,A27&gt;=$DA$6),0,AQ26*(1+Lookups!C$12))</f>
        <v>0</v>
      </c>
      <c r="AS27" s="1" cm="1">
        <f t="array" ref="AS27">_xlfn.IFS(OR(AS$6="",AND(A27&gt;=DA$6,B27&gt;=DB$6),AND(A27&lt;DA$4,B27&lt;DB$4)),0,AND(A27=DA$4,DA$4&lt;=DB$4),AS$6,AND(B27=DB$4,DA$4&gt;=DB$4),AS$6,OR(A27&gt;DA$4,B27&gt;DB$4),AS26*(1+Setup!C$103))</f>
        <v>0</v>
      </c>
      <c r="AT27" s="1" cm="1">
        <f t="array" ref="AT27">_xlfn.IFS(OR(AT$6="",AND(A27&gt;=DA$6,B27&gt;=DB$6),AND(A27&lt;DA$4,B27&lt;DB$4)),0,AND(A27=DA$4,DA$4&lt;=DB$4),AT$6,AND(B27=DB$4,DA$4&gt;=DB$4),AT$6,OR(A27&gt;DA$4,B27&gt;DB$4),AT26*(1+Setup!C$103))</f>
        <v>0</v>
      </c>
      <c r="AU27" s="1" cm="1">
        <f t="array" ref="AU27">_xlfn.IFS(OR(AU$6="",AND(A27&gt;=DA$6,B27&gt;=DB$6),AND(A27&lt;DA$4,B27&lt;DB$4)),0,AND(A27=DA$4,DA$4&lt;=DB$4),AU$6,AND(B27=DB$4,DA$4&gt;=DB$4),AU$6,OR(A27&gt;DA$4,B27&gt;DB$4),AU26*(1+Setup!C$103))</f>
        <v>0</v>
      </c>
      <c r="AV27" s="1" cm="1">
        <f t="array" ref="AV27">_xlfn.IFS(OR(AV$6="",AND(A27&gt;=DA$6,B27&gt;=DB$6),AND(A27&lt;DA$4,B27&lt;DB$4)),0,AND(A27=DA$4,DA$4&lt;=DB$4),AV$6,AND(B27=DB$4,DA$4&gt;=DB$4),AV$6,OR(A27&gt;DA$4,B27&gt;DB$4),AV26*(1+Setup!C$103))</f>
        <v>0</v>
      </c>
      <c r="AW27" s="1">
        <f t="shared" si="8"/>
        <v>0</v>
      </c>
      <c r="AY27" s="1" cm="1">
        <f t="array" ref="AY27">_xlfn.IFS(OR(AND(A27&gt;=DA$6,B27&gt;=DB$6),A27&lt;DA$5),0,AND(A27=DA$5,YEAR(C27)&gt;=Lookups!D$89),VLOOKUP(A27,Lookups!B$94:F$102,3),AND(A27=DA$5,YEAR(C27)&lt;Lookups!D$89),VLOOKUP(A27,Lookups!B$94:F$102,2),AND(A27&gt;DA$5,YEAR(C27)=Lookups!D$89),(AY26*Lookups!D$90)*(1+Lookups!C$20),AND(A27&gt;DA$5,YEAR(C27)&lt;&gt;Lookups!D$89),AY26*(1+Lookups!C$20))</f>
        <v>0</v>
      </c>
      <c r="AZ27" s="1" cm="1">
        <f t="array" ref="AZ27">_xlfn.IFS(OR(ISBLANK(Setup!K$91),Setup!K$91=0,AND(A27&gt;=DA$6,B27&gt;=DB$6),B27&lt;DB$5),0,AND(B27=DB$5,YEAR(C27)&gt;=Lookups!D$89),VLOOKUP(B27,Lookups!B$94:F$102,5),AND(B27=DB$5,YEAR(C27)&lt;Lookups!D$89),VLOOKUP(B27,Lookups!B$94:F$102,4),AND(B27&gt;DB$5,YEAR(C27)=Lookups!D$89),(AZ26*Lookups!D$90)*(1+Lookups!C$20),AND(B27&gt;DB$5,YEAR(C27)&lt;&gt;Lookups!D$89),AZ26*(1+Lookups!C$20))</f>
        <v>0</v>
      </c>
      <c r="BA27" s="65">
        <f>IF(OR(AY27&gt;0,AZ27&gt;0),(AY27+AZ27)*Lookups!D$120,0)</f>
        <v>0</v>
      </c>
      <c r="BB27" s="1" cm="1">
        <f t="array" ref="BB27">_xlfn.IFS(AND(A27&lt;DA$4,B27&lt;DB$4),0,OR(_xlfn.XOR(A27&gt;DA$6,B27&gt;DB$6),_xlfn.XOR(A27&gt;=DA$4,B27&gt;=DB$4)),IF(AP27-SUM(AW27,AY27:AZ27)&gt;0,AP27-SUM(AW27,AY27:AZ27),0),AQ27-SUM(AW27,AY27:AZ27)&gt;0, AQ27-SUM(AW27,AY27:AZ27),AQ27-SUM(AW27,AY27:AZ27)&lt;=0,0)</f>
        <v>0</v>
      </c>
      <c r="BD27" s="1" cm="1">
        <f t="array" ref="BD27">_xlfn.IFS(AND(A27&gt;=DA$6,B27&gt;=DB$6),0,AND(A27&gt;=DA$6,B27&gt;=Lookups!C$35),D27/VLOOKUP(B27,Lookups!C$37:D$67,2),A27&lt;Lookups!$C$35,0,A27&gt;=Lookups!C$35,D27/VLOOKUP(A27,Lookups!C$37:D$67,2))</f>
        <v>0</v>
      </c>
      <c r="BE27" s="1" cm="1">
        <f t="array" ref="BE27">_xlfn.IFS(AND(A27&gt;=DA$6,B27&gt;=DB$6),0,AND(B27&gt;=DB$6,A27&gt;=Lookups!C$35),F27/VLOOKUP(A27,Lookups!C$37:D$67,2),B27&lt;Lookups!$C$35,0,B27&gt;=Lookups!C$35,F27/VLOOKUP(B27,Lookups!C$37:D$67,2))</f>
        <v>0</v>
      </c>
      <c r="BF27" s="1" cm="1">
        <f t="array" ref="BF27">_xlfn.IFS($BB27&lt;=0,0,AND(A27&gt;=DA$4,B27&gt;=DB$4,$BB27*I27&lt;(BD27+BE27)),0,AND(A27&gt;=DA$4,B27&gt;=DB$4,H27&gt;=(BB27*I27)-BD27-BE27),(BB27*I27)-BD27-BE27,AND(A27&gt;=DA$4,B27&gt;=DB$4,H27&lt;(BB27*I27)-BD27-BE27),H27,AND(A27&gt;=DA$4,$BB27*I27&lt;(BD27)),0,AND(A27&gt;=DA$4,H27&gt;=(BB27*I27)-BD27),(BB27*I27)-BD27,AND(A27&gt;=DA$4,H27&lt;(BB27*I27)-BD27),H27,AND(B27&gt;=DB$4,$BB27*I27&lt;(BE27)),0,AND(B27&gt;=DB$4,H27&gt;=(BB27*I27)-BE27),(BB27*I27)-BE27,AND(B27&gt;=DB$4,H27&lt;(BB27*I27)-BE27),H27)</f>
        <v>0</v>
      </c>
      <c r="BG27" s="1">
        <f t="shared" si="9"/>
        <v>0</v>
      </c>
      <c r="BH27" s="1" cm="1">
        <f t="array" ref="BH27">_xlfn.IFS(OR(D27=0,A27&lt;DA$4),0,AND(A27&gt;=DA$4,B27&gt;=DB$4,D27&lt;BD27+($BF27*(D27/$H27))+(-$BP27*(D27/$H27))),D27,AND(A27&gt;=DA$4,B27&gt;=DB$4,$BB27&gt;$BG27),BD27+($BF27*(D27/$H27))+(-$BP27*(D27/$H27)),AND(A27&gt;=DA$4,B27&gt;=DB$4,OR(A27&gt;DA$6, B27&gt;DB$6),$AP27-SUM($AW27,$AY27:$AZ27)&lt;0),BD27+($BF27*(D27/$H27))+(-$BP27*(D27/$H27))+(BP27*(D27/$H27)),AND(A27&gt;=DA$4,B27&gt;=DB$4,$AQ27-SUM($AW27,$AY27:$AZ27)&lt;0),BD27+($BF27*(D27/$H27))+(-$BP27*(D27/$H27))+(BP27*(D27/$H27)),AND(A27&gt;=DA$4,D27&lt;BD27+$BF27-$BP27),D27,AND(A27&gt;=DA$4,$AP27-SUM($AW27,$AY27:$AZ27)&lt;0),BD27+($BF27*(D27/$H27))+(-$BP27*(D27/$H27))+(BP27*(D27/$H27)),A27&gt;=DA$4,BD27+$BF27-$BP27)</f>
        <v>0</v>
      </c>
      <c r="BI27" s="1" cm="1">
        <f t="array" ref="BI27">_xlfn.IFS(OR(F27=0,B27&lt;DB$4),0,AND(A27&gt;=DA$4,B27&gt;=DB$4,F27&lt;BE27+($BF27*(F27/$H27))+(-$BP27*(F27/$H27))),F27,AND(A27&gt;=DA$4,B27&gt;=DB$4,$BB27&gt;$BG27),BE27+($BF27*(F27/$H27))+(-$BP27*(F27/$H27)),AND(A27&gt;=DA$4,B27&gt;=DB$4,OR(A27&gt;DA$6, B27&gt;DB$6),$AP27-SUM($AW27,$AY27:$AZ27)&lt;0),BE27+($BF27*(F27/$H27))+(-$BP27*(F27/$H27))+(BP27*(F27/$H27)),AND(A27&gt;=DA$4,B27&gt;=DB$4,$AQ27-SUM($AW27,$AY27:$AZ27)&lt;0),BE27+($BF27*(F27/$H27))+(-$BP27*(F27/$H27))+(BP27*(F27/$H27)),AND(B27&gt;=DB$4,F27&lt;BE27+$BF27-$BP27),F27,AND(B27&gt;=DB$4,$AP27-SUM($AW27,$AY27:$AZ27)&lt;0),BE27+($BF27*(F27/$H27))+(-$BP27*(F27/$H27))+(BP27*(F27/$H27)),B27&gt;=DB$4,BE27+$BF27-$BP27)</f>
        <v>0</v>
      </c>
      <c r="BJ27" s="64" cm="1">
        <f t="array" ref="BJ27">IF(AW27+BA27+BG27&gt;0, AW27+BA27+BG27-_xlfn.IFS(AND(A27&gt;=65,B27&gt;=65),VLOOKUP(Setup!I$4,Lookups!C$133:F$136,4),OR(A27&gt;=65,B27&gt;=65),VLOOKUP(Setup!I$4,Lookups!C$133:E$136,3),AND(A27&lt;65,B27&lt;65),VLOOKUP(Setup!I$4,Lookups!C$133:D$136,2)),0)</f>
        <v>0</v>
      </c>
      <c r="BK27" s="1" cm="1">
        <f t="array" ref="BK27">IF(BJ27&gt;0,_xlfn.IFS(Setup!I$4=Lookups!D$109,-_xlfn.IFS($BJ27&gt;=Lookups!D$157, Lookups!F$157+($BJ27-Lookups!D$157)*Lookups!G$157,$BJ27&gt;=Lookups!D$156, Lookups!F$156+($BJ27-Lookups!D$156)*Lookups!G$156,$BJ27&gt;=Lookups!D$155, Lookups!F$155+($BJ27-Lookups!D$155)*Lookups!G$155,$BJ27&gt;=Lookups!D$154, Lookups!F$154+($BJ27-Lookups!D$154)*Lookups!G$154,$BJ27&gt;=Lookups!D$153, Lookups!F$153+($BJ27-Lookups!D$153)*Lookups!G$153,$BJ27&gt;=Lookups!D$152, Lookups!F$152+($BJ27-Lookups!D$152)*Lookups!G$152,$BJ27&lt;Lookups!D$152,$BJ27*Lookups!G$151),Setup!I$4=Lookups!D$110,-_xlfn.IFS($BJ27&gt;=Lookups!D$167, Lookups!F$167+($BJ27-Lookups!D$167)*Lookups!G$167,$BJ27&gt;=Lookups!D$166, Lookups!F$166+($BJ27-Lookups!D$166)*Lookups!G$166,$BJ27&gt;=Lookups!D$165, Lookups!F$165+($BJ27-Lookups!D$165)*Lookups!G$165,$BJ27&gt;=Lookups!D$164, Lookups!F$164+($BJ27-Lookups!D$164)*Lookups!G$164,$BJ27&gt;=Lookups!D$163, Lookups!F$163+($BJ27-Lookups!D$163)*Lookups!G$163,$BJ27&gt;=Lookups!D$162, Lookups!F$162+($BJ27-Lookups!D$162)*Lookups!G$162,$BJ27&lt;Lookups!D$162,$BJ27*Lookups!G$161),Setup!I$4=Lookups!D$111,-_xlfn.IFS($BJ27&gt;=Lookups!D$177, Lookups!F$177+($BJ27-Lookups!D$177)*Lookups!G$177,$BJ27&gt;=Lookups!D$176, Lookups!F$176+($BJ27-Lookups!D$176)*Lookups!G$176,$BJ27&gt;=Lookups!D$175, Lookups!F$175+($BJ27-Lookups!D$175)*Lookups!G$175,$BJ27&gt;=Lookups!D$174, Lookups!F$174+($BJ27-Lookups!D$174)*Lookups!G$174,$BJ27&gt;=Lookups!D$173, Lookups!F$173+($BJ27-Lookups!D$173)*Lookups!G$173,$BJ27&gt;=Lookups!D$172, Lookups!F$172+($BJ27-Lookups!D$172)*Lookups!G$172,$BJ27&lt;Lookups!D$172,$BJ27*Lookups!G$171), Setup!I$4=Lookups!D$112,-_xlfn.IFS($BJ27&gt;=Lookups!D$187, Lookups!F$187+($BJ27-Lookups!D$187)*Lookups!G$187,$BJ27&gt;=Lookups!D$186, Lookups!F$186+($BJ27-Lookups!D$186)*Lookups!G$186,$BJ27&gt;=Lookups!D$185, Lookups!F$185+($BJ27-Lookups!D$185)*Lookups!G$185,$BJ27&gt;=Lookups!D$184, Lookups!F$184+($BJ27-Lookups!D$184)*Lookups!G$184,$BJ27&gt;=Lookups!D$183, Lookups!F$183+($BJ27-Lookups!D$183)*Lookups!G$183,$BJ27&gt;=Lookups!D$182, Lookups!F$182+($BJ27-Lookups!D$182)*Lookups!G$182,$BJ27&lt;Lookups!D$182,$BJ27*Lookups!G$181)),0)</f>
        <v>0</v>
      </c>
      <c r="BL27" s="18">
        <f t="shared" si="10"/>
        <v>0</v>
      </c>
      <c r="BM27" s="134">
        <f t="shared" si="24"/>
        <v>0</v>
      </c>
      <c r="BN27" s="134" cm="1">
        <f t="array" aca="1" ref="BN27" ca="1">INDIRECT(Setup!I$6&amp;"!"&amp;"A"&amp;ROW())</f>
        <v>0</v>
      </c>
      <c r="BO27" s="134">
        <f t="shared" si="25"/>
        <v>0</v>
      </c>
      <c r="BP27" s="1">
        <f t="shared" si="11"/>
        <v>0</v>
      </c>
      <c r="BQ27" s="1">
        <f t="shared" si="26"/>
        <v>0</v>
      </c>
      <c r="BS27" s="1">
        <f t="shared" si="27"/>
        <v>0</v>
      </c>
      <c r="BT27" s="1" cm="1">
        <f t="array" ref="BT27">-IF(BS27&gt;0,_xlfn.IFS((AW27+BA27+BG27+BS27)&gt;=VLOOKUP(Setup!I$4,Lookups!C$210:E$213,3),BS27*Lookups!D$203,(AW27+BA27+BG27+BS27)&gt;=VLOOKUP(Setup!I$4,Lookups!C$210:E$213,2),BS27*Lookups!D$197,(AW27+BA27+BG27+BS27)&lt;VLOOKUP(Setup!I$4,Lookups!C$210:E$213,2),0),0)</f>
        <v>0</v>
      </c>
      <c r="BU27" s="18">
        <f t="shared" si="28"/>
        <v>0</v>
      </c>
      <c r="BV27" s="1">
        <f t="shared" si="29"/>
        <v>0</v>
      </c>
      <c r="BW27" s="1" cm="1">
        <f t="array" aca="1" ref="BW27" ca="1">INDIRECT(Setup!I$6&amp;"!"&amp;"A"&amp;ROW()+100)</f>
        <v>0</v>
      </c>
      <c r="BX27" s="1">
        <f t="shared" ca="1" si="15"/>
        <v>0</v>
      </c>
      <c r="BY27" s="1">
        <f t="shared" ca="1" si="16"/>
        <v>0</v>
      </c>
      <c r="CA27" s="1">
        <f t="shared" si="34"/>
        <v>0</v>
      </c>
      <c r="CC27" s="1" cm="1">
        <f t="array" ref="CC27">_xlfn.IFS(AND(A27&lt;$DA$4,B27&lt;$DB$4),0,AND(AND(A27&gt;=$DA$4,B27&gt;=$DB$4),AND(A27&lt;=$DA$6,B27&lt;=$DB$6),AND(BH27=0,BI27=0)),SUM(AW27,AY27:AZ27,BD27:BF27,BP27,BS27,CA27)-AQ27,AND(AND(A27&gt;=$DA$4,B27&gt;=$DB$4),AND(A27&lt;=$DA$6,B27&lt;=$DB$6)),SUM(AW27,AY27:AZ27,BD27:BF27,BS27,CA27)-AQ27,AND(OR(A27&gt;=$DA$4,B27&gt;=$DB$4),AND(BH27=0,BI27=0)),SUM(AW27,AY27:AZ27,BD27:BF27,BP27,BS27,CA27)-AP27,OR(A27&gt;=$DA$4,B27&gt;=$DB$4),SUM(AW27,AY27:AZ27,BD27:BF27,BS27,CA27)-AP27)</f>
        <v>0</v>
      </c>
      <c r="CD27" s="142" t="str">
        <f t="shared" si="30"/>
        <v/>
      </c>
    </row>
    <row r="28" spans="1:83" x14ac:dyDescent="0.3">
      <c r="A28" s="354">
        <f t="shared" si="31"/>
        <v>21</v>
      </c>
      <c r="B28" s="354">
        <f t="shared" si="32"/>
        <v>21</v>
      </c>
      <c r="C28" s="359">
        <f t="shared" si="33"/>
        <v>7672</v>
      </c>
      <c r="D28" s="326" cm="1">
        <f t="array" ref="D28">_xlfn.IFS(AND(A28&gt;DA$6,B28&gt;DB$6),0,AND(A28&gt;DA$3,A28&lt;=DA$4),D27*(1+DH$1),OR(A28&gt;DA$6,A28&gt;DA$4),(D27-BH27)*(1+DH$2),A28&lt;=DA$4,(D27*(1+DH$1))+(D$4))</f>
        <v>0</v>
      </c>
      <c r="E28" s="375"/>
      <c r="F28" s="326" cm="1">
        <f t="array" ref="F28">_xlfn.IFS(AND(A28&gt;DA$6,B28&gt;DB$6),0,AND(B28&gt;DB$3,B28&lt;=DB$4),F27*(1+DH$1),OR(B28&gt;DB$6,B28&gt;DB$4),(F27-BI27)*(1+DH$2),B28&lt;=DB$4,(F27*(1+DH$1))+(F$4))</f>
        <v>0</v>
      </c>
      <c r="G28" s="375"/>
      <c r="H28" s="1">
        <f t="shared" si="17"/>
        <v>0</v>
      </c>
      <c r="I28" s="2">
        <f t="shared" si="2"/>
        <v>0</v>
      </c>
      <c r="J28" s="14">
        <f t="shared" si="35"/>
        <v>0</v>
      </c>
      <c r="L28" s="402" cm="1">
        <f t="array" ref="L28">_xlfn.IFS(AND(A28&gt;DA$6,B28&gt;DB$6),0,A28&lt;DA$6,0,A28=DA$6,L$4,AND(A28&gt;DA$6,B28&lt;=DB$4),L27*(1+DH$1),AND(A28&gt;DA$6,B28&gt;DB$4),IF(Y27=0,0,(L27-((L27/Y27)*BY27))*(1+DH$2)))</f>
        <v>0</v>
      </c>
      <c r="M28" s="402" cm="1">
        <f t="array" ref="M28">_xlfn.IFS(AND(A28&gt;DA$6,B28&gt;DB$6),0,B28&lt;DB$6,0,B28=DB$6,M$4,AND(B28&gt;DB$6,A28&lt;=DA$4),M27*(1+DH$1),AND(A28&gt;DA$4,B28&gt;DB$6),IF(Y27=0,0,(M27-((M27/Y27)*BY27))*(1+DH$2)))</f>
        <v>0</v>
      </c>
      <c r="N28" s="327"/>
      <c r="O28" s="327" cm="1">
        <f t="array" ref="O28">_xlfn.IFS(OR(ISBLANK(Setup!C$63),Setup!C$63&gt;YEAR(C28),AND(A28&gt;DA$6,B28&gt;DB$6),ISBLANK(Y27)),0,Setup!C$63=YEAR(C28),Setup!C$62,AND(OR(A28&lt;=DA$4,B28&lt;=DB$4),Setup!C$63&lt;YEAR(C28)),O27*(1+DH$1),AND(A28&gt;DA$4,B28&gt;DB$4,Setup!C$63&lt;YEAR(C28)),IF(Y27=0,0,(O27-((O27/Y27)*BY27))*(1+DH$2)))</f>
        <v>0</v>
      </c>
      <c r="P28" s="327" cm="1">
        <f t="array" ref="P28">_xlfn.IFS(OR(ISBLANK(Setup!C$67),Setup!C$67&gt;YEAR(C28),AND(A28&gt;DA$6,B28&gt;DB$6)),0,Setup!C$67=YEAR(C28),Setup!C$66,AND(OR(A28&lt;=DA$4,B28&lt;=DB$4),Setup!C$67&lt;YEAR(C28)),P27*(1+DH$1),AND(A28&gt;DA$4,B28&gt;DB$4,Setup!C$67&lt;YEAR(C28)),IF(Y27=0,0,(P27-((P27/Y27)*BY27))*(1+DH$2)))</f>
        <v>0</v>
      </c>
      <c r="Q28" s="327" cm="1">
        <f t="array" ref="Q28">_xlfn.IFS(OR(ISBLANK(Setup!C$71),Setup!C$71&gt;YEAR(C28),AND(A28&gt;DA$6,B28&gt;DB$6)),0,Setup!C$71=YEAR(C28),Setup!C$70,AND(OR(A28&lt;=DA$4,B28&lt;=DB$4),Setup!C$71&lt;YEAR(C28)),Q27*(1+DH$1),AND(A28&gt;DA$4,B28&gt;DB$4,Setup!C$71&lt;YEAR(C28)),IF(Y27=0,0,(Q27-((Q27/Y27)*BY27))*(1+DH$2)))</f>
        <v>0</v>
      </c>
      <c r="R28" s="327" cm="1">
        <f t="array" ref="R28">_xlfn.IFS(OR(ISBLANK(Setup!C$75),Setup!C$75&gt;YEAR(C28),AND(A28&gt;DA$6,B28&gt;DB$6)),0,Setup!C$75=YEAR(C28),Setup!C$74,AND(OR(A28&lt;=DA$4,B28&lt;=DB$4),Setup!C$75&lt;YEAR(C28)),R27*(1+DH$1),AND(A28&gt;DA$4,B28&gt;DB$4,Setup!C$75&lt;YEAR(C28)),IF(Y27=0,0,(R27-((R27/Y27)*BY27))*(1+DH$2)))</f>
        <v>0</v>
      </c>
      <c r="S28" s="327"/>
      <c r="T28" s="326" cm="1">
        <f t="array" ref="T28">_xlfn.IFS(AND($A28&gt;$DA$6,$B28&gt;$DB$6),0,AND($W$2=$DA$2,$A28&gt;$DA$4),IF($Y27=0,0,(T27-((T27/$Y27)*$BY27))*(1+$DH$2)),AND($W$2=$DB$2,$B28&gt;$DB$4),IF($Y27=0,0,(T27-((T27/$Y27)*$BY27))*(1+$DH$2)),AND($W$2=$DA$2,OR($A28&gt;$DA$3,$A28&gt;$DA$6)),(T27*(1+$DH$1)),AND($W$2=$DB$2,OR($B28&gt;$DB$3,$B28&gt;$DB$6)),(T27*(1+$DH$1)),AND($W$2=$DA$2,$A28&lt;=$DA$3,$A28&lt;=$DA$4,$A28&lt;=$DA$5),(T27*(1+$DH$1))+(T$4),AND($W$2=$DB$2,$B28&lt;=$DB$3,$B28&lt;=$DB$4,$B28&lt;=$DB$5),(T27*(1+$DH$1))+(T$4))</f>
        <v>0</v>
      </c>
      <c r="U28" s="326" cm="1">
        <f t="array" ref="U28">_xlfn.IFS(AND($A28&gt;$DA$6,$B28&gt;$DB$6),0,AND($W$2=$DA$2,$A28&gt;$DA$4),IF($Y27=0,0,(U27-((U27/$Y27)*$BY27))*(1+$DH$2)),AND($W$2=$DB$2,$B28&gt;$DB$4),IF($Y27=0,0,(U27-((U27/$Y27)*$BY27))*(1+$DH$2)),AND($W$2=$DA$2,OR($A28&gt;$DA$3,$A28&gt;$DA$6)),(U27*(1+$DH$1)),AND($W$2=$DB$2,OR($B28&gt;$DB$3,$B28&gt;$DB$6)),(U27*(1+$DH$1)),AND($W$2=$DA$2,$A28&lt;=$DA$3,$A28&lt;=$DA$4,$A28&lt;=$DA$5),(U27*(1+$DH$1))+(U$4),AND($W$2=$DB$2,$B28&lt;=$DB$3,$B28&lt;=$DB$4,$B28&lt;=$DB$5),(U27*(1+$DH$1))+(U$4))</f>
        <v>0</v>
      </c>
      <c r="V28" s="326" cm="1">
        <f t="array" ref="V28">_xlfn.IFS(AND($A28&gt;$DA$6,$B28&gt;$DB$6),0,AND($W$2=$DA$2,$A28&gt;$DA$4),IF($Y27=0,0,(V27-((V27/$Y27)*$BY27))*(1+$DH$2)),AND($W$2=$DB$2,$B28&gt;$DB$4),IF($Y27=0,0,(V27-((V27/$Y27)*$BY27))*(1+$DH$2)),AND($W$2=$DA$2,OR($A28&gt;$DA$3,$A28&gt;$DA$6)),(V27*(1+$DH$1)),AND($W$2=$DB$2,OR($B28&gt;$DB$3,$B28&gt;$DB$6)),(V27*(1+$DH$1)),AND($W$2=$DA$2,$A28&lt;=$DA$3,$A28&lt;=$DA$4,$A28&lt;=$DA$5),(V27*(1+$DH$1))+(V$4),AND($W$2=$DB$2,$B28&lt;=$DB$3,$B28&lt;=$DB$4,$B28&lt;=$DB$5),(V27*(1+$DH$1))+(V$4))</f>
        <v>0</v>
      </c>
      <c r="W28" s="326" cm="1">
        <f t="array" ref="W28">_xlfn.IFS(AND($A28&gt;$DA$6,$B28&gt;$DB$6),0,AND($W$2=$DA$2,$A28&gt;$DA$4),IF($Y27=0,0,(W27-((W27/$Y27)*$BY27))*(1+$DH$2)),AND($W$2=$DB$2,$B28&gt;$DB$4),IF($Y27=0,0,(W27-((W27/$Y27)*$BY27))*(1+$DH$2)),AND($W$2=$DA$2,OR($A28&gt;$DA$3,$A28&gt;$DA$6)),(W27*(1+$DH$1)),AND($W$2=$DB$2,OR($B28&gt;$DB$3,$B28&gt;$DB$6)),(W27*(1+$DH$1)),AND($W$2=$DA$2,$A28&lt;=$DA$3,$A28&lt;=$DA$4,$A28&lt;=$DA$5),(W27*(1+$DH$1))+(W$4),AND($W$2=$DB$2,$B28&lt;=$DB$3,$B28&lt;=$DB$4,$B28&lt;=$DB$5),(W27*(1+$DH$1))+(W$4))</f>
        <v>0</v>
      </c>
      <c r="Y28" s="1">
        <f t="shared" si="18"/>
        <v>0</v>
      </c>
      <c r="Z28" s="2">
        <f t="shared" si="19"/>
        <v>0</v>
      </c>
      <c r="AA28" s="375"/>
      <c r="AC28" s="326" cm="1">
        <f t="array" ref="AC28">_xlfn.IFS(AND(A28&gt;DA$6,B28&gt;DB$6),0,AND(A28&gt;DA$4,B28&gt;DB$4),IF(AG27=0,0,(AC27-((AC27/AG27)*CA27))*(1+DH$2)),OR(A28&gt;DA$3,A28&gt;DA$6),AC27*(1+DH$1),A28&gt;DA$4,(AC27-CA27)*(1+DH$2),AND(A28&lt;=DA$3,A28&lt;=DA$4,A28&lt;=DA$6),(AC27*(1+DH$1))+(AC$4))</f>
        <v>0</v>
      </c>
      <c r="AD28" s="375"/>
      <c r="AE28" s="326" cm="1">
        <f t="array" ref="AE28">_xlfn.IFS(AND(A28&gt;DA$6,B28&gt;DB$6),0,AND(A28&gt;DA$4,B28&gt;DB$4),IF(AG27=0,0,(AE27-((AE27/AG27)*CA27))*(1+DH$2)),OR(B28&gt;DB$3,B28&gt;DB$6),AE27*(1+DH$1),B28&gt;DB$4,(AE27-CA27)*(1+DH$2),AND(B28&lt;=DB$3,B28&lt;=DB$4,B28&lt;=DB$6),(AE27*(1+DH$1))+(AE$4))</f>
        <v>0</v>
      </c>
      <c r="AF28" s="375"/>
      <c r="AG28" s="1">
        <f t="shared" si="5"/>
        <v>0</v>
      </c>
      <c r="AH28" s="2">
        <f t="shared" si="20"/>
        <v>0</v>
      </c>
      <c r="AI28" s="14">
        <f t="shared" si="6"/>
        <v>0</v>
      </c>
      <c r="AK28" s="1">
        <f t="shared" si="21"/>
        <v>0</v>
      </c>
      <c r="AL28" s="14">
        <f t="shared" si="22"/>
        <v>0</v>
      </c>
      <c r="AM28" s="14" t="str">
        <f t="shared" si="23"/>
        <v/>
      </c>
      <c r="AO28" s="15">
        <f t="shared" si="7"/>
        <v>0</v>
      </c>
      <c r="AP28" s="1">
        <f>IF(AND(B28&gt;=$DB$6,A28&gt;=$DA$6),0,AP27*(1+Lookups!C$12))</f>
        <v>0</v>
      </c>
      <c r="AQ28" s="1">
        <f>IF(AND(B28&gt;=$DB$6,A28&gt;=$DA$6),0,AQ27*(1+Lookups!C$12))</f>
        <v>0</v>
      </c>
      <c r="AS28" s="1" cm="1">
        <f t="array" ref="AS28">_xlfn.IFS(OR(AS$6="",AND(A28&gt;=DA$6,B28&gt;=DB$6),AND(A28&lt;DA$4,B28&lt;DB$4)),0,AND(A28=DA$4,DA$4&lt;=DB$4),AS$6,AND(B28=DB$4,DA$4&gt;=DB$4),AS$6,OR(A28&gt;DA$4,B28&gt;DB$4),AS27*(1+Setup!C$103))</f>
        <v>0</v>
      </c>
      <c r="AT28" s="1" cm="1">
        <f t="array" ref="AT28">_xlfn.IFS(OR(AT$6="",AND(A28&gt;=DA$6,B28&gt;=DB$6),AND(A28&lt;DA$4,B28&lt;DB$4)),0,AND(A28=DA$4,DA$4&lt;=DB$4),AT$6,AND(B28=DB$4,DA$4&gt;=DB$4),AT$6,OR(A28&gt;DA$4,B28&gt;DB$4),AT27*(1+Setup!C$103))</f>
        <v>0</v>
      </c>
      <c r="AU28" s="1" cm="1">
        <f t="array" ref="AU28">_xlfn.IFS(OR(AU$6="",AND(A28&gt;=DA$6,B28&gt;=DB$6),AND(A28&lt;DA$4,B28&lt;DB$4)),0,AND(A28=DA$4,DA$4&lt;=DB$4),AU$6,AND(B28=DB$4,DA$4&gt;=DB$4),AU$6,OR(A28&gt;DA$4,B28&gt;DB$4),AU27*(1+Setup!C$103))</f>
        <v>0</v>
      </c>
      <c r="AV28" s="1" cm="1">
        <f t="array" ref="AV28">_xlfn.IFS(OR(AV$6="",AND(A28&gt;=DA$6,B28&gt;=DB$6),AND(A28&lt;DA$4,B28&lt;DB$4)),0,AND(A28=DA$4,DA$4&lt;=DB$4),AV$6,AND(B28=DB$4,DA$4&gt;=DB$4),AV$6,OR(A28&gt;DA$4,B28&gt;DB$4),AV27*(1+Setup!C$103))</f>
        <v>0</v>
      </c>
      <c r="AW28" s="1">
        <f t="shared" si="8"/>
        <v>0</v>
      </c>
      <c r="AY28" s="1" cm="1">
        <f t="array" ref="AY28">_xlfn.IFS(OR(AND(A28&gt;=DA$6,B28&gt;=DB$6),A28&lt;DA$5),0,AND(A28=DA$5,YEAR(C28)&gt;=Lookups!D$89),VLOOKUP(A28,Lookups!B$94:F$102,3),AND(A28=DA$5,YEAR(C28)&lt;Lookups!D$89),VLOOKUP(A28,Lookups!B$94:F$102,2),AND(A28&gt;DA$5,YEAR(C28)=Lookups!D$89),(AY27*Lookups!D$90)*(1+Lookups!C$20),AND(A28&gt;DA$5,YEAR(C28)&lt;&gt;Lookups!D$89),AY27*(1+Lookups!C$20))</f>
        <v>0</v>
      </c>
      <c r="AZ28" s="1" cm="1">
        <f t="array" ref="AZ28">_xlfn.IFS(OR(ISBLANK(Setup!K$91),Setup!K$91=0,AND(A28&gt;=DA$6,B28&gt;=DB$6),B28&lt;DB$5),0,AND(B28=DB$5,YEAR(C28)&gt;=Lookups!D$89),VLOOKUP(B28,Lookups!B$94:F$102,5),AND(B28=DB$5,YEAR(C28)&lt;Lookups!D$89),VLOOKUP(B28,Lookups!B$94:F$102,4),AND(B28&gt;DB$5,YEAR(C28)=Lookups!D$89),(AZ27*Lookups!D$90)*(1+Lookups!C$20),AND(B28&gt;DB$5,YEAR(C28)&lt;&gt;Lookups!D$89),AZ27*(1+Lookups!C$20))</f>
        <v>0</v>
      </c>
      <c r="BA28" s="65">
        <f>IF(OR(AY28&gt;0,AZ28&gt;0),(AY28+AZ28)*Lookups!D$120,0)</f>
        <v>0</v>
      </c>
      <c r="BB28" s="1" cm="1">
        <f t="array" ref="BB28">_xlfn.IFS(AND(A28&lt;DA$4,B28&lt;DB$4),0,OR(_xlfn.XOR(A28&gt;DA$6,B28&gt;DB$6),_xlfn.XOR(A28&gt;=DA$4,B28&gt;=DB$4)),IF(AP28-SUM(AW28,AY28:AZ28)&gt;0,AP28-SUM(AW28,AY28:AZ28),0),AQ28-SUM(AW28,AY28:AZ28)&gt;0, AQ28-SUM(AW28,AY28:AZ28),AQ28-SUM(AW28,AY28:AZ28)&lt;=0,0)</f>
        <v>0</v>
      </c>
      <c r="BD28" s="1" cm="1">
        <f t="array" ref="BD28">_xlfn.IFS(AND(A28&gt;=DA$6,B28&gt;=DB$6),0,AND(A28&gt;=DA$6,B28&gt;=Lookups!C$35),D28/VLOOKUP(B28,Lookups!C$37:D$67,2),A28&lt;Lookups!$C$35,0,A28&gt;=Lookups!C$35,D28/VLOOKUP(A28,Lookups!C$37:D$67,2))</f>
        <v>0</v>
      </c>
      <c r="BE28" s="1" cm="1">
        <f t="array" ref="BE28">_xlfn.IFS(AND(A28&gt;=DA$6,B28&gt;=DB$6),0,AND(B28&gt;=DB$6,A28&gt;=Lookups!C$35),F28/VLOOKUP(A28,Lookups!C$37:D$67,2),B28&lt;Lookups!$C$35,0,B28&gt;=Lookups!C$35,F28/VLOOKUP(B28,Lookups!C$37:D$67,2))</f>
        <v>0</v>
      </c>
      <c r="BF28" s="1" cm="1">
        <f t="array" ref="BF28">_xlfn.IFS($BB28&lt;=0,0,AND(A28&gt;=DA$4,B28&gt;=DB$4,$BB28*I28&lt;(BD28+BE28)),0,AND(A28&gt;=DA$4,B28&gt;=DB$4,H28&gt;=(BB28*I28)-BD28-BE28),(BB28*I28)-BD28-BE28,AND(A28&gt;=DA$4,B28&gt;=DB$4,H28&lt;(BB28*I28)-BD28-BE28),H28,AND(A28&gt;=DA$4,$BB28*I28&lt;(BD28)),0,AND(A28&gt;=DA$4,H28&gt;=(BB28*I28)-BD28),(BB28*I28)-BD28,AND(A28&gt;=DA$4,H28&lt;(BB28*I28)-BD28),H28,AND(B28&gt;=DB$4,$BB28*I28&lt;(BE28)),0,AND(B28&gt;=DB$4,H28&gt;=(BB28*I28)-BE28),(BB28*I28)-BE28,AND(B28&gt;=DB$4,H28&lt;(BB28*I28)-BE28),H28)</f>
        <v>0</v>
      </c>
      <c r="BG28" s="1">
        <f t="shared" si="9"/>
        <v>0</v>
      </c>
      <c r="BH28" s="1" cm="1">
        <f t="array" ref="BH28">_xlfn.IFS(OR(D28=0,A28&lt;DA$4),0,AND(A28&gt;=DA$4,B28&gt;=DB$4,D28&lt;BD28+($BF28*(D28/$H28))+(-$BP28*(D28/$H28))),D28,AND(A28&gt;=DA$4,B28&gt;=DB$4,$BB28&gt;$BG28),BD28+($BF28*(D28/$H28))+(-$BP28*(D28/$H28)),AND(A28&gt;=DA$4,B28&gt;=DB$4,OR(A28&gt;DA$6, B28&gt;DB$6),$AP28-SUM($AW28,$AY28:$AZ28)&lt;0),BD28+($BF28*(D28/$H28))+(-$BP28*(D28/$H28))+(BP28*(D28/$H28)),AND(A28&gt;=DA$4,B28&gt;=DB$4,$AQ28-SUM($AW28,$AY28:$AZ28)&lt;0),BD28+($BF28*(D28/$H28))+(-$BP28*(D28/$H28))+(BP28*(D28/$H28)),AND(A28&gt;=DA$4,D28&lt;BD28+$BF28-$BP28),D28,AND(A28&gt;=DA$4,$AP28-SUM($AW28,$AY28:$AZ28)&lt;0),BD28+($BF28*(D28/$H28))+(-$BP28*(D28/$H28))+(BP28*(D28/$H28)),A28&gt;=DA$4,BD28+$BF28-$BP28)</f>
        <v>0</v>
      </c>
      <c r="BI28" s="1" cm="1">
        <f t="array" ref="BI28">_xlfn.IFS(OR(F28=0,B28&lt;DB$4),0,AND(A28&gt;=DA$4,B28&gt;=DB$4,F28&lt;BE28+($BF28*(F28/$H28))+(-$BP28*(F28/$H28))),F28,AND(A28&gt;=DA$4,B28&gt;=DB$4,$BB28&gt;$BG28),BE28+($BF28*(F28/$H28))+(-$BP28*(F28/$H28)),AND(A28&gt;=DA$4,B28&gt;=DB$4,OR(A28&gt;DA$6, B28&gt;DB$6),$AP28-SUM($AW28,$AY28:$AZ28)&lt;0),BE28+($BF28*(F28/$H28))+(-$BP28*(F28/$H28))+(BP28*(F28/$H28)),AND(A28&gt;=DA$4,B28&gt;=DB$4,$AQ28-SUM($AW28,$AY28:$AZ28)&lt;0),BE28+($BF28*(F28/$H28))+(-$BP28*(F28/$H28))+(BP28*(F28/$H28)),AND(B28&gt;=DB$4,F28&lt;BE28+$BF28-$BP28),F28,AND(B28&gt;=DB$4,$AP28-SUM($AW28,$AY28:$AZ28)&lt;0),BE28+($BF28*(F28/$H28))+(-$BP28*(F28/$H28))+(BP28*(F28/$H28)),B28&gt;=DB$4,BE28+$BF28-$BP28)</f>
        <v>0</v>
      </c>
      <c r="BJ28" s="64" cm="1">
        <f t="array" ref="BJ28">IF(AW28+BA28+BG28&gt;0, AW28+BA28+BG28-_xlfn.IFS(AND(A28&gt;=65,B28&gt;=65),VLOOKUP(Setup!I$4,Lookups!C$133:F$136,4),OR(A28&gt;=65,B28&gt;=65),VLOOKUP(Setup!I$4,Lookups!C$133:E$136,3),AND(A28&lt;65,B28&lt;65),VLOOKUP(Setup!I$4,Lookups!C$133:D$136,2)),0)</f>
        <v>0</v>
      </c>
      <c r="BK28" s="1" cm="1">
        <f t="array" ref="BK28">IF(BJ28&gt;0,_xlfn.IFS(Setup!I$4=Lookups!D$109,-_xlfn.IFS($BJ28&gt;=Lookups!D$157, Lookups!F$157+($BJ28-Lookups!D$157)*Lookups!G$157,$BJ28&gt;=Lookups!D$156, Lookups!F$156+($BJ28-Lookups!D$156)*Lookups!G$156,$BJ28&gt;=Lookups!D$155, Lookups!F$155+($BJ28-Lookups!D$155)*Lookups!G$155,$BJ28&gt;=Lookups!D$154, Lookups!F$154+($BJ28-Lookups!D$154)*Lookups!G$154,$BJ28&gt;=Lookups!D$153, Lookups!F$153+($BJ28-Lookups!D$153)*Lookups!G$153,$BJ28&gt;=Lookups!D$152, Lookups!F$152+($BJ28-Lookups!D$152)*Lookups!G$152,$BJ28&lt;Lookups!D$152,$BJ28*Lookups!G$151),Setup!I$4=Lookups!D$110,-_xlfn.IFS($BJ28&gt;=Lookups!D$167, Lookups!F$167+($BJ28-Lookups!D$167)*Lookups!G$167,$BJ28&gt;=Lookups!D$166, Lookups!F$166+($BJ28-Lookups!D$166)*Lookups!G$166,$BJ28&gt;=Lookups!D$165, Lookups!F$165+($BJ28-Lookups!D$165)*Lookups!G$165,$BJ28&gt;=Lookups!D$164, Lookups!F$164+($BJ28-Lookups!D$164)*Lookups!G$164,$BJ28&gt;=Lookups!D$163, Lookups!F$163+($BJ28-Lookups!D$163)*Lookups!G$163,$BJ28&gt;=Lookups!D$162, Lookups!F$162+($BJ28-Lookups!D$162)*Lookups!G$162,$BJ28&lt;Lookups!D$162,$BJ28*Lookups!G$161),Setup!I$4=Lookups!D$111,-_xlfn.IFS($BJ28&gt;=Lookups!D$177, Lookups!F$177+($BJ28-Lookups!D$177)*Lookups!G$177,$BJ28&gt;=Lookups!D$176, Lookups!F$176+($BJ28-Lookups!D$176)*Lookups!G$176,$BJ28&gt;=Lookups!D$175, Lookups!F$175+($BJ28-Lookups!D$175)*Lookups!G$175,$BJ28&gt;=Lookups!D$174, Lookups!F$174+($BJ28-Lookups!D$174)*Lookups!G$174,$BJ28&gt;=Lookups!D$173, Lookups!F$173+($BJ28-Lookups!D$173)*Lookups!G$173,$BJ28&gt;=Lookups!D$172, Lookups!F$172+($BJ28-Lookups!D$172)*Lookups!G$172,$BJ28&lt;Lookups!D$172,$BJ28*Lookups!G$171), Setup!I$4=Lookups!D$112,-_xlfn.IFS($BJ28&gt;=Lookups!D$187, Lookups!F$187+($BJ28-Lookups!D$187)*Lookups!G$187,$BJ28&gt;=Lookups!D$186, Lookups!F$186+($BJ28-Lookups!D$186)*Lookups!G$186,$BJ28&gt;=Lookups!D$185, Lookups!F$185+($BJ28-Lookups!D$185)*Lookups!G$185,$BJ28&gt;=Lookups!D$184, Lookups!F$184+($BJ28-Lookups!D$184)*Lookups!G$184,$BJ28&gt;=Lookups!D$183, Lookups!F$183+($BJ28-Lookups!D$183)*Lookups!G$183,$BJ28&gt;=Lookups!D$182, Lookups!F$182+($BJ28-Lookups!D$182)*Lookups!G$182,$BJ28&lt;Lookups!D$182,$BJ28*Lookups!G$181)),0)</f>
        <v>0</v>
      </c>
      <c r="BL28" s="18">
        <f t="shared" si="10"/>
        <v>0</v>
      </c>
      <c r="BM28" s="134">
        <f t="shared" si="24"/>
        <v>0</v>
      </c>
      <c r="BN28" s="134" cm="1">
        <f t="array" aca="1" ref="BN28" ca="1">INDIRECT(Setup!I$6&amp;"!"&amp;"A"&amp;ROW())</f>
        <v>0</v>
      </c>
      <c r="BO28" s="134">
        <f t="shared" si="25"/>
        <v>0</v>
      </c>
      <c r="BP28" s="1">
        <f t="shared" si="11"/>
        <v>0</v>
      </c>
      <c r="BQ28" s="1">
        <f t="shared" si="26"/>
        <v>0</v>
      </c>
      <c r="BS28" s="1">
        <f t="shared" si="27"/>
        <v>0</v>
      </c>
      <c r="BT28" s="1" cm="1">
        <f t="array" ref="BT28">-IF(BS28&gt;0,_xlfn.IFS((AW28+BA28+BG28+BS28)&gt;=VLOOKUP(Setup!I$4,Lookups!C$210:E$213,3),BS28*Lookups!D$203,(AW28+BA28+BG28+BS28)&gt;=VLOOKUP(Setup!I$4,Lookups!C$210:E$213,2),BS28*Lookups!D$197,(AW28+BA28+BG28+BS28)&lt;VLOOKUP(Setup!I$4,Lookups!C$210:E$213,2),0),0)</f>
        <v>0</v>
      </c>
      <c r="BU28" s="18">
        <f t="shared" si="28"/>
        <v>0</v>
      </c>
      <c r="BV28" s="1">
        <f t="shared" si="29"/>
        <v>0</v>
      </c>
      <c r="BW28" s="1" cm="1">
        <f t="array" aca="1" ref="BW28" ca="1">INDIRECT(Setup!I$6&amp;"!"&amp;"A"&amp;ROW()+100)</f>
        <v>0</v>
      </c>
      <c r="BX28" s="1">
        <f t="shared" ca="1" si="15"/>
        <v>0</v>
      </c>
      <c r="BY28" s="1">
        <f t="shared" ca="1" si="16"/>
        <v>0</v>
      </c>
      <c r="CA28" s="1">
        <f t="shared" si="34"/>
        <v>0</v>
      </c>
      <c r="CC28" s="1" cm="1">
        <f t="array" ref="CC28">_xlfn.IFS(AND(A28&lt;$DA$4,B28&lt;$DB$4),0,AND(AND(A28&gt;=$DA$4,B28&gt;=$DB$4),AND(A28&lt;=$DA$6,B28&lt;=$DB$6),AND(BH28=0,BI28=0)),SUM(AW28,AY28:AZ28,BD28:BF28,BP28,BS28,CA28)-AQ28,AND(AND(A28&gt;=$DA$4,B28&gt;=$DB$4),AND(A28&lt;=$DA$6,B28&lt;=$DB$6)),SUM(AW28,AY28:AZ28,BD28:BF28,BS28,CA28)-AQ28,AND(OR(A28&gt;=$DA$4,B28&gt;=$DB$4),AND(BH28=0,BI28=0)),SUM(AW28,AY28:AZ28,BD28:BF28,BP28,BS28,CA28)-AP28,OR(A28&gt;=$DA$4,B28&gt;=$DB$4),SUM(AW28,AY28:AZ28,BD28:BF28,BS28,CA28)-AP28)</f>
        <v>0</v>
      </c>
      <c r="CD28" s="142" t="str">
        <f t="shared" si="30"/>
        <v/>
      </c>
    </row>
    <row r="29" spans="1:83" x14ac:dyDescent="0.3">
      <c r="A29" s="354">
        <f t="shared" si="31"/>
        <v>22</v>
      </c>
      <c r="B29" s="354">
        <f t="shared" si="32"/>
        <v>22</v>
      </c>
      <c r="C29" s="359">
        <f t="shared" si="33"/>
        <v>8037</v>
      </c>
      <c r="D29" s="326" cm="1">
        <f t="array" ref="D29">_xlfn.IFS(AND(A29&gt;DA$6,B29&gt;DB$6),0,AND(A29&gt;DA$3,A29&lt;=DA$4),D28*(1+DH$1),OR(A29&gt;DA$6,A29&gt;DA$4),(D28-BH28)*(1+DH$2),A29&lt;=DA$4,(D28*(1+DH$1))+(D$4))</f>
        <v>0</v>
      </c>
      <c r="E29" s="375"/>
      <c r="F29" s="326" cm="1">
        <f t="array" ref="F29">_xlfn.IFS(AND(A29&gt;DA$6,B29&gt;DB$6),0,AND(B29&gt;DB$3,B29&lt;=DB$4),F28*(1+DH$1),OR(B29&gt;DB$6,B29&gt;DB$4),(F28-BI28)*(1+DH$2),B29&lt;=DB$4,(F28*(1+DH$1))+(F$4))</f>
        <v>0</v>
      </c>
      <c r="G29" s="375"/>
      <c r="H29" s="1">
        <f t="shared" si="17"/>
        <v>0</v>
      </c>
      <c r="I29" s="2">
        <f t="shared" si="2"/>
        <v>0</v>
      </c>
      <c r="J29" s="14">
        <f t="shared" si="35"/>
        <v>0</v>
      </c>
      <c r="L29" s="402" cm="1">
        <f t="array" ref="L29">_xlfn.IFS(AND(A29&gt;DA$6,B29&gt;DB$6),0,A29&lt;DA$6,0,A29=DA$6,L$4,AND(A29&gt;DA$6,B29&lt;=DB$4),L28*(1+DH$1),AND(A29&gt;DA$6,B29&gt;DB$4),IF(Y28=0,0,(L28-((L28/Y28)*BY28))*(1+DH$2)))</f>
        <v>0</v>
      </c>
      <c r="M29" s="402" cm="1">
        <f t="array" ref="M29">_xlfn.IFS(AND(A29&gt;DA$6,B29&gt;DB$6),0,B29&lt;DB$6,0,B29=DB$6,M$4,AND(B29&gt;DB$6,A29&lt;=DA$4),M28*(1+DH$1),AND(A29&gt;DA$4,B29&gt;DB$6),IF(Y28=0,0,(M28-((M28/Y28)*BY28))*(1+DH$2)))</f>
        <v>0</v>
      </c>
      <c r="N29" s="327"/>
      <c r="O29" s="327" cm="1">
        <f t="array" ref="O29">_xlfn.IFS(OR(ISBLANK(Setup!C$63),Setup!C$63&gt;YEAR(C29),AND(A29&gt;DA$6,B29&gt;DB$6),ISBLANK(Y28)),0,Setup!C$63=YEAR(C29),Setup!C$62,AND(OR(A29&lt;=DA$4,B29&lt;=DB$4),Setup!C$63&lt;YEAR(C29)),O28*(1+DH$1),AND(A29&gt;DA$4,B29&gt;DB$4,Setup!C$63&lt;YEAR(C29)),IF(Y28=0,0,(O28-((O28/Y28)*BY28))*(1+DH$2)))</f>
        <v>0</v>
      </c>
      <c r="P29" s="327" cm="1">
        <f t="array" ref="P29">_xlfn.IFS(OR(ISBLANK(Setup!C$67),Setup!C$67&gt;YEAR(C29),AND(A29&gt;DA$6,B29&gt;DB$6)),0,Setup!C$67=YEAR(C29),Setup!C$66,AND(OR(A29&lt;=DA$4,B29&lt;=DB$4),Setup!C$67&lt;YEAR(C29)),P28*(1+DH$1),AND(A29&gt;DA$4,B29&gt;DB$4,Setup!C$67&lt;YEAR(C29)),IF(Y28=0,0,(P28-((P28/Y28)*BY28))*(1+DH$2)))</f>
        <v>0</v>
      </c>
      <c r="Q29" s="327" cm="1">
        <f t="array" ref="Q29">_xlfn.IFS(OR(ISBLANK(Setup!C$71),Setup!C$71&gt;YEAR(C29),AND(A29&gt;DA$6,B29&gt;DB$6)),0,Setup!C$71=YEAR(C29),Setup!C$70,AND(OR(A29&lt;=DA$4,B29&lt;=DB$4),Setup!C$71&lt;YEAR(C29)),Q28*(1+DH$1),AND(A29&gt;DA$4,B29&gt;DB$4,Setup!C$71&lt;YEAR(C29)),IF(Y28=0,0,(Q28-((Q28/Y28)*BY28))*(1+DH$2)))</f>
        <v>0</v>
      </c>
      <c r="R29" s="327" cm="1">
        <f t="array" ref="R29">_xlfn.IFS(OR(ISBLANK(Setup!C$75),Setup!C$75&gt;YEAR(C29),AND(A29&gt;DA$6,B29&gt;DB$6)),0,Setup!C$75=YEAR(C29),Setup!C$74,AND(OR(A29&lt;=DA$4,B29&lt;=DB$4),Setup!C$75&lt;YEAR(C29)),R28*(1+DH$1),AND(A29&gt;DA$4,B29&gt;DB$4,Setup!C$75&lt;YEAR(C29)),IF(Y28=0,0,(R28-((R28/Y28)*BY28))*(1+DH$2)))</f>
        <v>0</v>
      </c>
      <c r="S29" s="327"/>
      <c r="T29" s="326" cm="1">
        <f t="array" ref="T29">_xlfn.IFS(AND($A29&gt;$DA$6,$B29&gt;$DB$6),0,AND($W$2=$DA$2,$A29&gt;$DA$4),IF($Y28=0,0,(T28-((T28/$Y28)*$BY28))*(1+$DH$2)),AND($W$2=$DB$2,$B29&gt;$DB$4),IF($Y28=0,0,(T28-((T28/$Y28)*$BY28))*(1+$DH$2)),AND($W$2=$DA$2,OR($A29&gt;$DA$3,$A29&gt;$DA$6)),(T28*(1+$DH$1)),AND($W$2=$DB$2,OR($B29&gt;$DB$3,$B29&gt;$DB$6)),(T28*(1+$DH$1)),AND($W$2=$DA$2,$A29&lt;=$DA$3,$A29&lt;=$DA$4,$A29&lt;=$DA$5),(T28*(1+$DH$1))+(T$4),AND($W$2=$DB$2,$B29&lt;=$DB$3,$B29&lt;=$DB$4,$B29&lt;=$DB$5),(T28*(1+$DH$1))+(T$4))</f>
        <v>0</v>
      </c>
      <c r="U29" s="326" cm="1">
        <f t="array" ref="U29">_xlfn.IFS(AND($A29&gt;$DA$6,$B29&gt;$DB$6),0,AND($W$2=$DA$2,$A29&gt;$DA$4),IF($Y28=0,0,(U28-((U28/$Y28)*$BY28))*(1+$DH$2)),AND($W$2=$DB$2,$B29&gt;$DB$4),IF($Y28=0,0,(U28-((U28/$Y28)*$BY28))*(1+$DH$2)),AND($W$2=$DA$2,OR($A29&gt;$DA$3,$A29&gt;$DA$6)),(U28*(1+$DH$1)),AND($W$2=$DB$2,OR($B29&gt;$DB$3,$B29&gt;$DB$6)),(U28*(1+$DH$1)),AND($W$2=$DA$2,$A29&lt;=$DA$3,$A29&lt;=$DA$4,$A29&lt;=$DA$5),(U28*(1+$DH$1))+(U$4),AND($W$2=$DB$2,$B29&lt;=$DB$3,$B29&lt;=$DB$4,$B29&lt;=$DB$5),(U28*(1+$DH$1))+(U$4))</f>
        <v>0</v>
      </c>
      <c r="V29" s="326" cm="1">
        <f t="array" ref="V29">_xlfn.IFS(AND($A29&gt;$DA$6,$B29&gt;$DB$6),0,AND($W$2=$DA$2,$A29&gt;$DA$4),IF($Y28=0,0,(V28-((V28/$Y28)*$BY28))*(1+$DH$2)),AND($W$2=$DB$2,$B29&gt;$DB$4),IF($Y28=0,0,(V28-((V28/$Y28)*$BY28))*(1+$DH$2)),AND($W$2=$DA$2,OR($A29&gt;$DA$3,$A29&gt;$DA$6)),(V28*(1+$DH$1)),AND($W$2=$DB$2,OR($B29&gt;$DB$3,$B29&gt;$DB$6)),(V28*(1+$DH$1)),AND($W$2=$DA$2,$A29&lt;=$DA$3,$A29&lt;=$DA$4,$A29&lt;=$DA$5),(V28*(1+$DH$1))+(V$4),AND($W$2=$DB$2,$B29&lt;=$DB$3,$B29&lt;=$DB$4,$B29&lt;=$DB$5),(V28*(1+$DH$1))+(V$4))</f>
        <v>0</v>
      </c>
      <c r="W29" s="326" cm="1">
        <f t="array" ref="W29">_xlfn.IFS(AND($A29&gt;$DA$6,$B29&gt;$DB$6),0,AND($W$2=$DA$2,$A29&gt;$DA$4),IF($Y28=0,0,(W28-((W28/$Y28)*$BY28))*(1+$DH$2)),AND($W$2=$DB$2,$B29&gt;$DB$4),IF($Y28=0,0,(W28-((W28/$Y28)*$BY28))*(1+$DH$2)),AND($W$2=$DA$2,OR($A29&gt;$DA$3,$A29&gt;$DA$6)),(W28*(1+$DH$1)),AND($W$2=$DB$2,OR($B29&gt;$DB$3,$B29&gt;$DB$6)),(W28*(1+$DH$1)),AND($W$2=$DA$2,$A29&lt;=$DA$3,$A29&lt;=$DA$4,$A29&lt;=$DA$5),(W28*(1+$DH$1))+(W$4),AND($W$2=$DB$2,$B29&lt;=$DB$3,$B29&lt;=$DB$4,$B29&lt;=$DB$5),(W28*(1+$DH$1))+(W$4))</f>
        <v>0</v>
      </c>
      <c r="Y29" s="1">
        <f t="shared" si="18"/>
        <v>0</v>
      </c>
      <c r="Z29" s="2">
        <f t="shared" si="19"/>
        <v>0</v>
      </c>
      <c r="AA29" s="375"/>
      <c r="AC29" s="326" cm="1">
        <f t="array" ref="AC29">_xlfn.IFS(AND(A29&gt;DA$6,B29&gt;DB$6),0,AND(A29&gt;DA$4,B29&gt;DB$4),IF(AG28=0,0,(AC28-((AC28/AG28)*CA28))*(1+DH$2)),OR(A29&gt;DA$3,A29&gt;DA$6),AC28*(1+DH$1),A29&gt;DA$4,(AC28-CA28)*(1+DH$2),AND(A29&lt;=DA$3,A29&lt;=DA$4,A29&lt;=DA$6),(AC28*(1+DH$1))+(AC$4))</f>
        <v>0</v>
      </c>
      <c r="AD29" s="375"/>
      <c r="AE29" s="326" cm="1">
        <f t="array" ref="AE29">_xlfn.IFS(AND(A29&gt;DA$6,B29&gt;DB$6),0,AND(A29&gt;DA$4,B29&gt;DB$4),IF(AG28=0,0,(AE28-((AE28/AG28)*CA28))*(1+DH$2)),OR(B29&gt;DB$3,B29&gt;DB$6),AE28*(1+DH$1),B29&gt;DB$4,(AE28-CA28)*(1+DH$2),AND(B29&lt;=DB$3,B29&lt;=DB$4,B29&lt;=DB$6),(AE28*(1+DH$1))+(AE$4))</f>
        <v>0</v>
      </c>
      <c r="AF29" s="375"/>
      <c r="AG29" s="1">
        <f t="shared" si="5"/>
        <v>0</v>
      </c>
      <c r="AH29" s="2">
        <f t="shared" si="20"/>
        <v>0</v>
      </c>
      <c r="AI29" s="14">
        <f t="shared" si="6"/>
        <v>0</v>
      </c>
      <c r="AK29" s="1">
        <f t="shared" si="21"/>
        <v>0</v>
      </c>
      <c r="AL29" s="14">
        <f t="shared" si="22"/>
        <v>0</v>
      </c>
      <c r="AM29" s="14" t="str">
        <f t="shared" si="23"/>
        <v/>
      </c>
      <c r="AO29" s="15">
        <f t="shared" si="7"/>
        <v>0</v>
      </c>
      <c r="AP29" s="1">
        <f>IF(AND(B29&gt;=$DB$6,A29&gt;=$DA$6),0,AP28*(1+Lookups!C$12))</f>
        <v>0</v>
      </c>
      <c r="AQ29" s="1">
        <f>IF(AND(B29&gt;=$DB$6,A29&gt;=$DA$6),0,AQ28*(1+Lookups!C$12))</f>
        <v>0</v>
      </c>
      <c r="AS29" s="1" cm="1">
        <f t="array" ref="AS29">_xlfn.IFS(OR(AS$6="",AND(A29&gt;=DA$6,B29&gt;=DB$6),AND(A29&lt;DA$4,B29&lt;DB$4)),0,AND(A29=DA$4,DA$4&lt;=DB$4),AS$6,AND(B29=DB$4,DA$4&gt;=DB$4),AS$6,OR(A29&gt;DA$4,B29&gt;DB$4),AS28*(1+Setup!C$103))</f>
        <v>0</v>
      </c>
      <c r="AT29" s="1" cm="1">
        <f t="array" ref="AT29">_xlfn.IFS(OR(AT$6="",AND(A29&gt;=DA$6,B29&gt;=DB$6),AND(A29&lt;DA$4,B29&lt;DB$4)),0,AND(A29=DA$4,DA$4&lt;=DB$4),AT$6,AND(B29=DB$4,DA$4&gt;=DB$4),AT$6,OR(A29&gt;DA$4,B29&gt;DB$4),AT28*(1+Setup!C$103))</f>
        <v>0</v>
      </c>
      <c r="AU29" s="1" cm="1">
        <f t="array" ref="AU29">_xlfn.IFS(OR(AU$6="",AND(A29&gt;=DA$6,B29&gt;=DB$6),AND(A29&lt;DA$4,B29&lt;DB$4)),0,AND(A29=DA$4,DA$4&lt;=DB$4),AU$6,AND(B29=DB$4,DA$4&gt;=DB$4),AU$6,OR(A29&gt;DA$4,B29&gt;DB$4),AU28*(1+Setup!C$103))</f>
        <v>0</v>
      </c>
      <c r="AV29" s="1" cm="1">
        <f t="array" ref="AV29">_xlfn.IFS(OR(AV$6="",AND(A29&gt;=DA$6,B29&gt;=DB$6),AND(A29&lt;DA$4,B29&lt;DB$4)),0,AND(A29=DA$4,DA$4&lt;=DB$4),AV$6,AND(B29=DB$4,DA$4&gt;=DB$4),AV$6,OR(A29&gt;DA$4,B29&gt;DB$4),AV28*(1+Setup!C$103))</f>
        <v>0</v>
      </c>
      <c r="AW29" s="1">
        <f t="shared" si="8"/>
        <v>0</v>
      </c>
      <c r="AY29" s="1" cm="1">
        <f t="array" ref="AY29">_xlfn.IFS(OR(AND(A29&gt;=DA$6,B29&gt;=DB$6),A29&lt;DA$5),0,AND(A29=DA$5,YEAR(C29)&gt;=Lookups!D$89),VLOOKUP(A29,Lookups!B$94:F$102,3),AND(A29=DA$5,YEAR(C29)&lt;Lookups!D$89),VLOOKUP(A29,Lookups!B$94:F$102,2),AND(A29&gt;DA$5,YEAR(C29)=Lookups!D$89),(AY28*Lookups!D$90)*(1+Lookups!C$20),AND(A29&gt;DA$5,YEAR(C29)&lt;&gt;Lookups!D$89),AY28*(1+Lookups!C$20))</f>
        <v>0</v>
      </c>
      <c r="AZ29" s="1" cm="1">
        <f t="array" ref="AZ29">_xlfn.IFS(OR(ISBLANK(Setup!K$91),Setup!K$91=0,AND(A29&gt;=DA$6,B29&gt;=DB$6),B29&lt;DB$5),0,AND(B29=DB$5,YEAR(C29)&gt;=Lookups!D$89),VLOOKUP(B29,Lookups!B$94:F$102,5),AND(B29=DB$5,YEAR(C29)&lt;Lookups!D$89),VLOOKUP(B29,Lookups!B$94:F$102,4),AND(B29&gt;DB$5,YEAR(C29)=Lookups!D$89),(AZ28*Lookups!D$90)*(1+Lookups!C$20),AND(B29&gt;DB$5,YEAR(C29)&lt;&gt;Lookups!D$89),AZ28*(1+Lookups!C$20))</f>
        <v>0</v>
      </c>
      <c r="BA29" s="65">
        <f>IF(OR(AY29&gt;0,AZ29&gt;0),(AY29+AZ29)*Lookups!D$120,0)</f>
        <v>0</v>
      </c>
      <c r="BB29" s="1" cm="1">
        <f t="array" ref="BB29">_xlfn.IFS(AND(A29&lt;DA$4,B29&lt;DB$4),0,OR(_xlfn.XOR(A29&gt;DA$6,B29&gt;DB$6),_xlfn.XOR(A29&gt;=DA$4,B29&gt;=DB$4)),IF(AP29-SUM(AW29,AY29:AZ29)&gt;0,AP29-SUM(AW29,AY29:AZ29),0),AQ29-SUM(AW29,AY29:AZ29)&gt;0, AQ29-SUM(AW29,AY29:AZ29),AQ29-SUM(AW29,AY29:AZ29)&lt;=0,0)</f>
        <v>0</v>
      </c>
      <c r="BD29" s="1" cm="1">
        <f t="array" ref="BD29">_xlfn.IFS(AND(A29&gt;=DA$6,B29&gt;=DB$6),0,AND(A29&gt;=DA$6,B29&gt;=Lookups!C$35),D29/VLOOKUP(B29,Lookups!C$37:D$67,2),A29&lt;Lookups!$C$35,0,A29&gt;=Lookups!C$35,D29/VLOOKUP(A29,Lookups!C$37:D$67,2))</f>
        <v>0</v>
      </c>
      <c r="BE29" s="1" cm="1">
        <f t="array" ref="BE29">_xlfn.IFS(AND(A29&gt;=DA$6,B29&gt;=DB$6),0,AND(B29&gt;=DB$6,A29&gt;=Lookups!C$35),F29/VLOOKUP(A29,Lookups!C$37:D$67,2),B29&lt;Lookups!$C$35,0,B29&gt;=Lookups!C$35,F29/VLOOKUP(B29,Lookups!C$37:D$67,2))</f>
        <v>0</v>
      </c>
      <c r="BF29" s="1" cm="1">
        <f t="array" ref="BF29">_xlfn.IFS($BB29&lt;=0,0,AND(A29&gt;=DA$4,B29&gt;=DB$4,$BB29*I29&lt;(BD29+BE29)),0,AND(A29&gt;=DA$4,B29&gt;=DB$4,H29&gt;=(BB29*I29)-BD29-BE29),(BB29*I29)-BD29-BE29,AND(A29&gt;=DA$4,B29&gt;=DB$4,H29&lt;(BB29*I29)-BD29-BE29),H29,AND(A29&gt;=DA$4,$BB29*I29&lt;(BD29)),0,AND(A29&gt;=DA$4,H29&gt;=(BB29*I29)-BD29),(BB29*I29)-BD29,AND(A29&gt;=DA$4,H29&lt;(BB29*I29)-BD29),H29,AND(B29&gt;=DB$4,$BB29*I29&lt;(BE29)),0,AND(B29&gt;=DB$4,H29&gt;=(BB29*I29)-BE29),(BB29*I29)-BE29,AND(B29&gt;=DB$4,H29&lt;(BB29*I29)-BE29),H29)</f>
        <v>0</v>
      </c>
      <c r="BG29" s="1">
        <f t="shared" si="9"/>
        <v>0</v>
      </c>
      <c r="BH29" s="1" cm="1">
        <f t="array" ref="BH29">_xlfn.IFS(OR(D29=0,A29&lt;DA$4),0,AND(A29&gt;=DA$4,B29&gt;=DB$4,D29&lt;BD29+($BF29*(D29/$H29))+(-$BP29*(D29/$H29))),D29,AND(A29&gt;=DA$4,B29&gt;=DB$4,$BB29&gt;$BG29),BD29+($BF29*(D29/$H29))+(-$BP29*(D29/$H29)),AND(A29&gt;=DA$4,B29&gt;=DB$4,OR(A29&gt;DA$6, B29&gt;DB$6),$AP29-SUM($AW29,$AY29:$AZ29)&lt;0),BD29+($BF29*(D29/$H29))+(-$BP29*(D29/$H29))+(BP29*(D29/$H29)),AND(A29&gt;=DA$4,B29&gt;=DB$4,$AQ29-SUM($AW29,$AY29:$AZ29)&lt;0),BD29+($BF29*(D29/$H29))+(-$BP29*(D29/$H29))+(BP29*(D29/$H29)),AND(A29&gt;=DA$4,D29&lt;BD29+$BF29-$BP29),D29,AND(A29&gt;=DA$4,$AP29-SUM($AW29,$AY29:$AZ29)&lt;0),BD29+($BF29*(D29/$H29))+(-$BP29*(D29/$H29))+(BP29*(D29/$H29)),A29&gt;=DA$4,BD29+$BF29-$BP29)</f>
        <v>0</v>
      </c>
      <c r="BI29" s="1" cm="1">
        <f t="array" ref="BI29">_xlfn.IFS(OR(F29=0,B29&lt;DB$4),0,AND(A29&gt;=DA$4,B29&gt;=DB$4,F29&lt;BE29+($BF29*(F29/$H29))+(-$BP29*(F29/$H29))),F29,AND(A29&gt;=DA$4,B29&gt;=DB$4,$BB29&gt;$BG29),BE29+($BF29*(F29/$H29))+(-$BP29*(F29/$H29)),AND(A29&gt;=DA$4,B29&gt;=DB$4,OR(A29&gt;DA$6, B29&gt;DB$6),$AP29-SUM($AW29,$AY29:$AZ29)&lt;0),BE29+($BF29*(F29/$H29))+(-$BP29*(F29/$H29))+(BP29*(F29/$H29)),AND(A29&gt;=DA$4,B29&gt;=DB$4,$AQ29-SUM($AW29,$AY29:$AZ29)&lt;0),BE29+($BF29*(F29/$H29))+(-$BP29*(F29/$H29))+(BP29*(F29/$H29)),AND(B29&gt;=DB$4,F29&lt;BE29+$BF29-$BP29),F29,AND(B29&gt;=DB$4,$AP29-SUM($AW29,$AY29:$AZ29)&lt;0),BE29+($BF29*(F29/$H29))+(-$BP29*(F29/$H29))+(BP29*(F29/$H29)),B29&gt;=DB$4,BE29+$BF29-$BP29)</f>
        <v>0</v>
      </c>
      <c r="BJ29" s="64" cm="1">
        <f t="array" ref="BJ29">IF(AW29+BA29+BG29&gt;0, AW29+BA29+BG29-_xlfn.IFS(AND(A29&gt;=65,B29&gt;=65),VLOOKUP(Setup!I$4,Lookups!C$133:F$136,4),OR(A29&gt;=65,B29&gt;=65),VLOOKUP(Setup!I$4,Lookups!C$133:E$136,3),AND(A29&lt;65,B29&lt;65),VLOOKUP(Setup!I$4,Lookups!C$133:D$136,2)),0)</f>
        <v>0</v>
      </c>
      <c r="BK29" s="1" cm="1">
        <f t="array" ref="BK29">IF(BJ29&gt;0,_xlfn.IFS(Setup!I$4=Lookups!D$109,-_xlfn.IFS($BJ29&gt;=Lookups!D$157, Lookups!F$157+($BJ29-Lookups!D$157)*Lookups!G$157,$BJ29&gt;=Lookups!D$156, Lookups!F$156+($BJ29-Lookups!D$156)*Lookups!G$156,$BJ29&gt;=Lookups!D$155, Lookups!F$155+($BJ29-Lookups!D$155)*Lookups!G$155,$BJ29&gt;=Lookups!D$154, Lookups!F$154+($BJ29-Lookups!D$154)*Lookups!G$154,$BJ29&gt;=Lookups!D$153, Lookups!F$153+($BJ29-Lookups!D$153)*Lookups!G$153,$BJ29&gt;=Lookups!D$152, Lookups!F$152+($BJ29-Lookups!D$152)*Lookups!G$152,$BJ29&lt;Lookups!D$152,$BJ29*Lookups!G$151),Setup!I$4=Lookups!D$110,-_xlfn.IFS($BJ29&gt;=Lookups!D$167, Lookups!F$167+($BJ29-Lookups!D$167)*Lookups!G$167,$BJ29&gt;=Lookups!D$166, Lookups!F$166+($BJ29-Lookups!D$166)*Lookups!G$166,$BJ29&gt;=Lookups!D$165, Lookups!F$165+($BJ29-Lookups!D$165)*Lookups!G$165,$BJ29&gt;=Lookups!D$164, Lookups!F$164+($BJ29-Lookups!D$164)*Lookups!G$164,$BJ29&gt;=Lookups!D$163, Lookups!F$163+($BJ29-Lookups!D$163)*Lookups!G$163,$BJ29&gt;=Lookups!D$162, Lookups!F$162+($BJ29-Lookups!D$162)*Lookups!G$162,$BJ29&lt;Lookups!D$162,$BJ29*Lookups!G$161),Setup!I$4=Lookups!D$111,-_xlfn.IFS($BJ29&gt;=Lookups!D$177, Lookups!F$177+($BJ29-Lookups!D$177)*Lookups!G$177,$BJ29&gt;=Lookups!D$176, Lookups!F$176+($BJ29-Lookups!D$176)*Lookups!G$176,$BJ29&gt;=Lookups!D$175, Lookups!F$175+($BJ29-Lookups!D$175)*Lookups!G$175,$BJ29&gt;=Lookups!D$174, Lookups!F$174+($BJ29-Lookups!D$174)*Lookups!G$174,$BJ29&gt;=Lookups!D$173, Lookups!F$173+($BJ29-Lookups!D$173)*Lookups!G$173,$BJ29&gt;=Lookups!D$172, Lookups!F$172+($BJ29-Lookups!D$172)*Lookups!G$172,$BJ29&lt;Lookups!D$172,$BJ29*Lookups!G$171), Setup!I$4=Lookups!D$112,-_xlfn.IFS($BJ29&gt;=Lookups!D$187, Lookups!F$187+($BJ29-Lookups!D$187)*Lookups!G$187,$BJ29&gt;=Lookups!D$186, Lookups!F$186+($BJ29-Lookups!D$186)*Lookups!G$186,$BJ29&gt;=Lookups!D$185, Lookups!F$185+($BJ29-Lookups!D$185)*Lookups!G$185,$BJ29&gt;=Lookups!D$184, Lookups!F$184+($BJ29-Lookups!D$184)*Lookups!G$184,$BJ29&gt;=Lookups!D$183, Lookups!F$183+($BJ29-Lookups!D$183)*Lookups!G$183,$BJ29&gt;=Lookups!D$182, Lookups!F$182+($BJ29-Lookups!D$182)*Lookups!G$182,$BJ29&lt;Lookups!D$182,$BJ29*Lookups!G$181)),0)</f>
        <v>0</v>
      </c>
      <c r="BL29" s="18">
        <f t="shared" si="10"/>
        <v>0</v>
      </c>
      <c r="BM29" s="134">
        <f t="shared" si="24"/>
        <v>0</v>
      </c>
      <c r="BN29" s="134" cm="1">
        <f t="array" aca="1" ref="BN29" ca="1">INDIRECT(Setup!I$6&amp;"!"&amp;"A"&amp;ROW())</f>
        <v>0</v>
      </c>
      <c r="BO29" s="134">
        <f t="shared" si="25"/>
        <v>0</v>
      </c>
      <c r="BP29" s="1">
        <f t="shared" si="11"/>
        <v>0</v>
      </c>
      <c r="BQ29" s="1">
        <f t="shared" si="26"/>
        <v>0</v>
      </c>
      <c r="BS29" s="1">
        <f t="shared" si="27"/>
        <v>0</v>
      </c>
      <c r="BT29" s="1" cm="1">
        <f t="array" ref="BT29">-IF(BS29&gt;0,_xlfn.IFS((AW29+BA29+BG29+BS29)&gt;=VLOOKUP(Setup!I$4,Lookups!C$210:E$213,3),BS29*Lookups!D$203,(AW29+BA29+BG29+BS29)&gt;=VLOOKUP(Setup!I$4,Lookups!C$210:E$213,2),BS29*Lookups!D$197,(AW29+BA29+BG29+BS29)&lt;VLOOKUP(Setup!I$4,Lookups!C$210:E$213,2),0),0)</f>
        <v>0</v>
      </c>
      <c r="BU29" s="18">
        <f t="shared" si="28"/>
        <v>0</v>
      </c>
      <c r="BV29" s="1">
        <f t="shared" si="29"/>
        <v>0</v>
      </c>
      <c r="BW29" s="1" cm="1">
        <f t="array" aca="1" ref="BW29" ca="1">INDIRECT(Setup!I$6&amp;"!"&amp;"A"&amp;ROW()+100)</f>
        <v>0</v>
      </c>
      <c r="BX29" s="1">
        <f t="shared" ca="1" si="15"/>
        <v>0</v>
      </c>
      <c r="BY29" s="1">
        <f t="shared" ca="1" si="16"/>
        <v>0</v>
      </c>
      <c r="CA29" s="1">
        <f t="shared" si="34"/>
        <v>0</v>
      </c>
      <c r="CC29" s="1" cm="1">
        <f t="array" ref="CC29">_xlfn.IFS(AND(A29&lt;$DA$4,B29&lt;$DB$4),0,AND(AND(A29&gt;=$DA$4,B29&gt;=$DB$4),AND(A29&lt;=$DA$6,B29&lt;=$DB$6),AND(BH29=0,BI29=0)),SUM(AW29,AY29:AZ29,BD29:BF29,BP29,BS29,CA29)-AQ29,AND(AND(A29&gt;=$DA$4,B29&gt;=$DB$4),AND(A29&lt;=$DA$6,B29&lt;=$DB$6)),SUM(AW29,AY29:AZ29,BD29:BF29,BS29,CA29)-AQ29,AND(OR(A29&gt;=$DA$4,B29&gt;=$DB$4),AND(BH29=0,BI29=0)),SUM(AW29,AY29:AZ29,BD29:BF29,BP29,BS29,CA29)-AP29,OR(A29&gt;=$DA$4,B29&gt;=$DB$4),SUM(AW29,AY29:AZ29,BD29:BF29,BS29,CA29)-AP29)</f>
        <v>0</v>
      </c>
      <c r="CD29" s="142" t="str">
        <f t="shared" si="30"/>
        <v/>
      </c>
    </row>
    <row r="30" spans="1:83" x14ac:dyDescent="0.3">
      <c r="A30" s="354">
        <f t="shared" si="31"/>
        <v>23</v>
      </c>
      <c r="B30" s="354">
        <f t="shared" si="32"/>
        <v>23</v>
      </c>
      <c r="C30" s="359">
        <f t="shared" si="33"/>
        <v>8402</v>
      </c>
      <c r="D30" s="326" cm="1">
        <f t="array" ref="D30">_xlfn.IFS(AND(A30&gt;DA$6,B30&gt;DB$6),0,AND(A30&gt;DA$3,A30&lt;=DA$4),D29*(1+DH$1),OR(A30&gt;DA$6,A30&gt;DA$4),(D29-BH29)*(1+DH$2),A30&lt;=DA$4,(D29*(1+DH$1))+(D$4))</f>
        <v>0</v>
      </c>
      <c r="E30" s="375"/>
      <c r="F30" s="326" cm="1">
        <f t="array" ref="F30">_xlfn.IFS(AND(A30&gt;DA$6,B30&gt;DB$6),0,AND(B30&gt;DB$3,B30&lt;=DB$4),F29*(1+DH$1),OR(B30&gt;DB$6,B30&gt;DB$4),(F29-BI29)*(1+DH$2),B30&lt;=DB$4,(F29*(1+DH$1))+(F$4))</f>
        <v>0</v>
      </c>
      <c r="G30" s="375"/>
      <c r="H30" s="1">
        <f t="shared" si="17"/>
        <v>0</v>
      </c>
      <c r="I30" s="2">
        <f t="shared" si="2"/>
        <v>0</v>
      </c>
      <c r="J30" s="14">
        <f t="shared" si="35"/>
        <v>0</v>
      </c>
      <c r="L30" s="402" cm="1">
        <f t="array" ref="L30">_xlfn.IFS(AND(A30&gt;DA$6,B30&gt;DB$6),0,A30&lt;DA$6,0,A30=DA$6,L$4,AND(A30&gt;DA$6,B30&lt;=DB$4),L29*(1+DH$1),AND(A30&gt;DA$6,B30&gt;DB$4),IF(Y29=0,0,(L29-((L29/Y29)*BY29))*(1+DH$2)))</f>
        <v>0</v>
      </c>
      <c r="M30" s="402" cm="1">
        <f t="array" ref="M30">_xlfn.IFS(AND(A30&gt;DA$6,B30&gt;DB$6),0,B30&lt;DB$6,0,B30=DB$6,M$4,AND(B30&gt;DB$6,A30&lt;=DA$4),M29*(1+DH$1),AND(A30&gt;DA$4,B30&gt;DB$6),IF(Y29=0,0,(M29-((M29/Y29)*BY29))*(1+DH$2)))</f>
        <v>0</v>
      </c>
      <c r="N30" s="327"/>
      <c r="O30" s="327" cm="1">
        <f t="array" ref="O30">_xlfn.IFS(OR(ISBLANK(Setup!C$63),Setup!C$63&gt;YEAR(C30),AND(A30&gt;DA$6,B30&gt;DB$6),ISBLANK(Y29)),0,Setup!C$63=YEAR(C30),Setup!C$62,AND(OR(A30&lt;=DA$4,B30&lt;=DB$4),Setup!C$63&lt;YEAR(C30)),O29*(1+DH$1),AND(A30&gt;DA$4,B30&gt;DB$4,Setup!C$63&lt;YEAR(C30)),IF(Y29=0,0,(O29-((O29/Y29)*BY29))*(1+DH$2)))</f>
        <v>0</v>
      </c>
      <c r="P30" s="327" cm="1">
        <f t="array" ref="P30">_xlfn.IFS(OR(ISBLANK(Setup!C$67),Setup!C$67&gt;YEAR(C30),AND(A30&gt;DA$6,B30&gt;DB$6)),0,Setup!C$67=YEAR(C30),Setup!C$66,AND(OR(A30&lt;=DA$4,B30&lt;=DB$4),Setup!C$67&lt;YEAR(C30)),P29*(1+DH$1),AND(A30&gt;DA$4,B30&gt;DB$4,Setup!C$67&lt;YEAR(C30)),IF(Y29=0,0,(P29-((P29/Y29)*BY29))*(1+DH$2)))</f>
        <v>0</v>
      </c>
      <c r="Q30" s="327" cm="1">
        <f t="array" ref="Q30">_xlfn.IFS(OR(ISBLANK(Setup!C$71),Setup!C$71&gt;YEAR(C30),AND(A30&gt;DA$6,B30&gt;DB$6)),0,Setup!C$71=YEAR(C30),Setup!C$70,AND(OR(A30&lt;=DA$4,B30&lt;=DB$4),Setup!C$71&lt;YEAR(C30)),Q29*(1+DH$1),AND(A30&gt;DA$4,B30&gt;DB$4,Setup!C$71&lt;YEAR(C30)),IF(Y29=0,0,(Q29-((Q29/Y29)*BY29))*(1+DH$2)))</f>
        <v>0</v>
      </c>
      <c r="R30" s="327" cm="1">
        <f t="array" ref="R30">_xlfn.IFS(OR(ISBLANK(Setup!C$75),Setup!C$75&gt;YEAR(C30),AND(A30&gt;DA$6,B30&gt;DB$6)),0,Setup!C$75=YEAR(C30),Setup!C$74,AND(OR(A30&lt;=DA$4,B30&lt;=DB$4),Setup!C$75&lt;YEAR(C30)),R29*(1+DH$1),AND(A30&gt;DA$4,B30&gt;DB$4,Setup!C$75&lt;YEAR(C30)),IF(Y29=0,0,(R29-((R29/Y29)*BY29))*(1+DH$2)))</f>
        <v>0</v>
      </c>
      <c r="S30" s="327"/>
      <c r="T30" s="326" cm="1">
        <f t="array" ref="T30">_xlfn.IFS(AND($A30&gt;$DA$6,$B30&gt;$DB$6),0,AND($W$2=$DA$2,$A30&gt;$DA$4),IF($Y29=0,0,(T29-((T29/$Y29)*$BY29))*(1+$DH$2)),AND($W$2=$DB$2,$B30&gt;$DB$4),IF($Y29=0,0,(T29-((T29/$Y29)*$BY29))*(1+$DH$2)),AND($W$2=$DA$2,OR($A30&gt;$DA$3,$A30&gt;$DA$6)),(T29*(1+$DH$1)),AND($W$2=$DB$2,OR($B30&gt;$DB$3,$B30&gt;$DB$6)),(T29*(1+$DH$1)),AND($W$2=$DA$2,$A30&lt;=$DA$3,$A30&lt;=$DA$4,$A30&lt;=$DA$5),(T29*(1+$DH$1))+(T$4),AND($W$2=$DB$2,$B30&lt;=$DB$3,$B30&lt;=$DB$4,$B30&lt;=$DB$5),(T29*(1+$DH$1))+(T$4))</f>
        <v>0</v>
      </c>
      <c r="U30" s="326" cm="1">
        <f t="array" ref="U30">_xlfn.IFS(AND($A30&gt;$DA$6,$B30&gt;$DB$6),0,AND($W$2=$DA$2,$A30&gt;$DA$4),IF($Y29=0,0,(U29-((U29/$Y29)*$BY29))*(1+$DH$2)),AND($W$2=$DB$2,$B30&gt;$DB$4),IF($Y29=0,0,(U29-((U29/$Y29)*$BY29))*(1+$DH$2)),AND($W$2=$DA$2,OR($A30&gt;$DA$3,$A30&gt;$DA$6)),(U29*(1+$DH$1)),AND($W$2=$DB$2,OR($B30&gt;$DB$3,$B30&gt;$DB$6)),(U29*(1+$DH$1)),AND($W$2=$DA$2,$A30&lt;=$DA$3,$A30&lt;=$DA$4,$A30&lt;=$DA$5),(U29*(1+$DH$1))+(U$4),AND($W$2=$DB$2,$B30&lt;=$DB$3,$B30&lt;=$DB$4,$B30&lt;=$DB$5),(U29*(1+$DH$1))+(U$4))</f>
        <v>0</v>
      </c>
      <c r="V30" s="326" cm="1">
        <f t="array" ref="V30">_xlfn.IFS(AND($A30&gt;$DA$6,$B30&gt;$DB$6),0,AND($W$2=$DA$2,$A30&gt;$DA$4),IF($Y29=0,0,(V29-((V29/$Y29)*$BY29))*(1+$DH$2)),AND($W$2=$DB$2,$B30&gt;$DB$4),IF($Y29=0,0,(V29-((V29/$Y29)*$BY29))*(1+$DH$2)),AND($W$2=$DA$2,OR($A30&gt;$DA$3,$A30&gt;$DA$6)),(V29*(1+$DH$1)),AND($W$2=$DB$2,OR($B30&gt;$DB$3,$B30&gt;$DB$6)),(V29*(1+$DH$1)),AND($W$2=$DA$2,$A30&lt;=$DA$3,$A30&lt;=$DA$4,$A30&lt;=$DA$5),(V29*(1+$DH$1))+(V$4),AND($W$2=$DB$2,$B30&lt;=$DB$3,$B30&lt;=$DB$4,$B30&lt;=$DB$5),(V29*(1+$DH$1))+(V$4))</f>
        <v>0</v>
      </c>
      <c r="W30" s="326" cm="1">
        <f t="array" ref="W30">_xlfn.IFS(AND($A30&gt;$DA$6,$B30&gt;$DB$6),0,AND($W$2=$DA$2,$A30&gt;$DA$4),IF($Y29=0,0,(W29-((W29/$Y29)*$BY29))*(1+$DH$2)),AND($W$2=$DB$2,$B30&gt;$DB$4),IF($Y29=0,0,(W29-((W29/$Y29)*$BY29))*(1+$DH$2)),AND($W$2=$DA$2,OR($A30&gt;$DA$3,$A30&gt;$DA$6)),(W29*(1+$DH$1)),AND($W$2=$DB$2,OR($B30&gt;$DB$3,$B30&gt;$DB$6)),(W29*(1+$DH$1)),AND($W$2=$DA$2,$A30&lt;=$DA$3,$A30&lt;=$DA$4,$A30&lt;=$DA$5),(W29*(1+$DH$1))+(W$4),AND($W$2=$DB$2,$B30&lt;=$DB$3,$B30&lt;=$DB$4,$B30&lt;=$DB$5),(W29*(1+$DH$1))+(W$4))</f>
        <v>0</v>
      </c>
      <c r="Y30" s="1">
        <f t="shared" si="18"/>
        <v>0</v>
      </c>
      <c r="Z30" s="2">
        <f t="shared" si="19"/>
        <v>0</v>
      </c>
      <c r="AA30" s="375"/>
      <c r="AC30" s="326" cm="1">
        <f t="array" ref="AC30">_xlfn.IFS(AND(A30&gt;DA$6,B30&gt;DB$6),0,AND(A30&gt;DA$4,B30&gt;DB$4),IF(AG29=0,0,(AC29-((AC29/AG29)*CA29))*(1+DH$2)),OR(A30&gt;DA$3,A30&gt;DA$6),AC29*(1+DH$1),A30&gt;DA$4,(AC29-CA29)*(1+DH$2),AND(A30&lt;=DA$3,A30&lt;=DA$4,A30&lt;=DA$6),(AC29*(1+DH$1))+(AC$4))</f>
        <v>0</v>
      </c>
      <c r="AD30" s="375"/>
      <c r="AE30" s="326" cm="1">
        <f t="array" ref="AE30">_xlfn.IFS(AND(A30&gt;DA$6,B30&gt;DB$6),0,AND(A30&gt;DA$4,B30&gt;DB$4),IF(AG29=0,0,(AE29-((AE29/AG29)*CA29))*(1+DH$2)),OR(B30&gt;DB$3,B30&gt;DB$6),AE29*(1+DH$1),B30&gt;DB$4,(AE29-CA29)*(1+DH$2),AND(B30&lt;=DB$3,B30&lt;=DB$4,B30&lt;=DB$6),(AE29*(1+DH$1))+(AE$4))</f>
        <v>0</v>
      </c>
      <c r="AF30" s="375"/>
      <c r="AG30" s="1">
        <f t="shared" si="5"/>
        <v>0</v>
      </c>
      <c r="AH30" s="2">
        <f t="shared" si="20"/>
        <v>0</v>
      </c>
      <c r="AI30" s="14">
        <f t="shared" si="6"/>
        <v>0</v>
      </c>
      <c r="AK30" s="1">
        <f t="shared" si="21"/>
        <v>0</v>
      </c>
      <c r="AL30" s="14">
        <f t="shared" si="22"/>
        <v>0</v>
      </c>
      <c r="AM30" s="14" t="str">
        <f t="shared" si="23"/>
        <v/>
      </c>
      <c r="AO30" s="15">
        <f t="shared" si="7"/>
        <v>0</v>
      </c>
      <c r="AP30" s="1">
        <f>IF(AND(B30&gt;=$DB$6,A30&gt;=$DA$6),0,AP29*(1+Lookups!C$12))</f>
        <v>0</v>
      </c>
      <c r="AQ30" s="1">
        <f>IF(AND(B30&gt;=$DB$6,A30&gt;=$DA$6),0,AQ29*(1+Lookups!C$12))</f>
        <v>0</v>
      </c>
      <c r="AS30" s="1" cm="1">
        <f t="array" ref="AS30">_xlfn.IFS(OR(AS$6="",AND(A30&gt;=DA$6,B30&gt;=DB$6),AND(A30&lt;DA$4,B30&lt;DB$4)),0,AND(A30=DA$4,DA$4&lt;=DB$4),AS$6,AND(B30=DB$4,DA$4&gt;=DB$4),AS$6,OR(A30&gt;DA$4,B30&gt;DB$4),AS29*(1+Setup!C$103))</f>
        <v>0</v>
      </c>
      <c r="AT30" s="1" cm="1">
        <f t="array" ref="AT30">_xlfn.IFS(OR(AT$6="",AND(A30&gt;=DA$6,B30&gt;=DB$6),AND(A30&lt;DA$4,B30&lt;DB$4)),0,AND(A30=DA$4,DA$4&lt;=DB$4),AT$6,AND(B30=DB$4,DA$4&gt;=DB$4),AT$6,OR(A30&gt;DA$4,B30&gt;DB$4),AT29*(1+Setup!C$103))</f>
        <v>0</v>
      </c>
      <c r="AU30" s="1" cm="1">
        <f t="array" ref="AU30">_xlfn.IFS(OR(AU$6="",AND(A30&gt;=DA$6,B30&gt;=DB$6),AND(A30&lt;DA$4,B30&lt;DB$4)),0,AND(A30=DA$4,DA$4&lt;=DB$4),AU$6,AND(B30=DB$4,DA$4&gt;=DB$4),AU$6,OR(A30&gt;DA$4,B30&gt;DB$4),AU29*(1+Setup!C$103))</f>
        <v>0</v>
      </c>
      <c r="AV30" s="1" cm="1">
        <f t="array" ref="AV30">_xlfn.IFS(OR(AV$6="",AND(A30&gt;=DA$6,B30&gt;=DB$6),AND(A30&lt;DA$4,B30&lt;DB$4)),0,AND(A30=DA$4,DA$4&lt;=DB$4),AV$6,AND(B30=DB$4,DA$4&gt;=DB$4),AV$6,OR(A30&gt;DA$4,B30&gt;DB$4),AV29*(1+Setup!C$103))</f>
        <v>0</v>
      </c>
      <c r="AW30" s="1">
        <f t="shared" si="8"/>
        <v>0</v>
      </c>
      <c r="AY30" s="1" cm="1">
        <f t="array" ref="AY30">_xlfn.IFS(OR(AND(A30&gt;=DA$6,B30&gt;=DB$6),A30&lt;DA$5),0,AND(A30=DA$5,YEAR(C30)&gt;=Lookups!D$89),VLOOKUP(A30,Lookups!B$94:F$102,3),AND(A30=DA$5,YEAR(C30)&lt;Lookups!D$89),VLOOKUP(A30,Lookups!B$94:F$102,2),AND(A30&gt;DA$5,YEAR(C30)=Lookups!D$89),(AY29*Lookups!D$90)*(1+Lookups!C$20),AND(A30&gt;DA$5,YEAR(C30)&lt;&gt;Lookups!D$89),AY29*(1+Lookups!C$20))</f>
        <v>0</v>
      </c>
      <c r="AZ30" s="1" cm="1">
        <f t="array" ref="AZ30">_xlfn.IFS(OR(ISBLANK(Setup!K$91),Setup!K$91=0,AND(A30&gt;=DA$6,B30&gt;=DB$6),B30&lt;DB$5),0,AND(B30=DB$5,YEAR(C30)&gt;=Lookups!D$89),VLOOKUP(B30,Lookups!B$94:F$102,5),AND(B30=DB$5,YEAR(C30)&lt;Lookups!D$89),VLOOKUP(B30,Lookups!B$94:F$102,4),AND(B30&gt;DB$5,YEAR(C30)=Lookups!D$89),(AZ29*Lookups!D$90)*(1+Lookups!C$20),AND(B30&gt;DB$5,YEAR(C30)&lt;&gt;Lookups!D$89),AZ29*(1+Lookups!C$20))</f>
        <v>0</v>
      </c>
      <c r="BA30" s="65">
        <f>IF(OR(AY30&gt;0,AZ30&gt;0),(AY30+AZ30)*Lookups!D$120,0)</f>
        <v>0</v>
      </c>
      <c r="BB30" s="1" cm="1">
        <f t="array" ref="BB30">_xlfn.IFS(AND(A30&lt;DA$4,B30&lt;DB$4),0,OR(_xlfn.XOR(A30&gt;DA$6,B30&gt;DB$6),_xlfn.XOR(A30&gt;=DA$4,B30&gt;=DB$4)),IF(AP30-SUM(AW30,AY30:AZ30)&gt;0,AP30-SUM(AW30,AY30:AZ30),0),AQ30-SUM(AW30,AY30:AZ30)&gt;0, AQ30-SUM(AW30,AY30:AZ30),AQ30-SUM(AW30,AY30:AZ30)&lt;=0,0)</f>
        <v>0</v>
      </c>
      <c r="BD30" s="1" cm="1">
        <f t="array" ref="BD30">_xlfn.IFS(AND(A30&gt;=DA$6,B30&gt;=DB$6),0,AND(A30&gt;=DA$6,B30&gt;=Lookups!C$35),D30/VLOOKUP(B30,Lookups!C$37:D$67,2),A30&lt;Lookups!$C$35,0,A30&gt;=Lookups!C$35,D30/VLOOKUP(A30,Lookups!C$37:D$67,2))</f>
        <v>0</v>
      </c>
      <c r="BE30" s="1" cm="1">
        <f t="array" ref="BE30">_xlfn.IFS(AND(A30&gt;=DA$6,B30&gt;=DB$6),0,AND(B30&gt;=DB$6,A30&gt;=Lookups!C$35),F30/VLOOKUP(A30,Lookups!C$37:D$67,2),B30&lt;Lookups!$C$35,0,B30&gt;=Lookups!C$35,F30/VLOOKUP(B30,Lookups!C$37:D$67,2))</f>
        <v>0</v>
      </c>
      <c r="BF30" s="1" cm="1">
        <f t="array" ref="BF30">_xlfn.IFS($BB30&lt;=0,0,AND(A30&gt;=DA$4,B30&gt;=DB$4,$BB30*I30&lt;(BD30+BE30)),0,AND(A30&gt;=DA$4,B30&gt;=DB$4,H30&gt;=(BB30*I30)-BD30-BE30),(BB30*I30)-BD30-BE30,AND(A30&gt;=DA$4,B30&gt;=DB$4,H30&lt;(BB30*I30)-BD30-BE30),H30,AND(A30&gt;=DA$4,$BB30*I30&lt;(BD30)),0,AND(A30&gt;=DA$4,H30&gt;=(BB30*I30)-BD30),(BB30*I30)-BD30,AND(A30&gt;=DA$4,H30&lt;(BB30*I30)-BD30),H30,AND(B30&gt;=DB$4,$BB30*I30&lt;(BE30)),0,AND(B30&gt;=DB$4,H30&gt;=(BB30*I30)-BE30),(BB30*I30)-BE30,AND(B30&gt;=DB$4,H30&lt;(BB30*I30)-BE30),H30)</f>
        <v>0</v>
      </c>
      <c r="BG30" s="1">
        <f t="shared" si="9"/>
        <v>0</v>
      </c>
      <c r="BH30" s="1" cm="1">
        <f t="array" ref="BH30">_xlfn.IFS(OR(D30=0,A30&lt;DA$4),0,AND(A30&gt;=DA$4,B30&gt;=DB$4,D30&lt;BD30+($BF30*(D30/$H30))+(-$BP30*(D30/$H30))),D30,AND(A30&gt;=DA$4,B30&gt;=DB$4,$BB30&gt;$BG30),BD30+($BF30*(D30/$H30))+(-$BP30*(D30/$H30)),AND(A30&gt;=DA$4,B30&gt;=DB$4,OR(A30&gt;DA$6, B30&gt;DB$6),$AP30-SUM($AW30,$AY30:$AZ30)&lt;0),BD30+($BF30*(D30/$H30))+(-$BP30*(D30/$H30))+(BP30*(D30/$H30)),AND(A30&gt;=DA$4,B30&gt;=DB$4,$AQ30-SUM($AW30,$AY30:$AZ30)&lt;0),BD30+($BF30*(D30/$H30))+(-$BP30*(D30/$H30))+(BP30*(D30/$H30)),AND(A30&gt;=DA$4,D30&lt;BD30+$BF30-$BP30),D30,AND(A30&gt;=DA$4,$AP30-SUM($AW30,$AY30:$AZ30)&lt;0),BD30+($BF30*(D30/$H30))+(-$BP30*(D30/$H30))+(BP30*(D30/$H30)),A30&gt;=DA$4,BD30+$BF30-$BP30)</f>
        <v>0</v>
      </c>
      <c r="BI30" s="1" cm="1">
        <f t="array" ref="BI30">_xlfn.IFS(OR(F30=0,B30&lt;DB$4),0,AND(A30&gt;=DA$4,B30&gt;=DB$4,F30&lt;BE30+($BF30*(F30/$H30))+(-$BP30*(F30/$H30))),F30,AND(A30&gt;=DA$4,B30&gt;=DB$4,$BB30&gt;$BG30),BE30+($BF30*(F30/$H30))+(-$BP30*(F30/$H30)),AND(A30&gt;=DA$4,B30&gt;=DB$4,OR(A30&gt;DA$6, B30&gt;DB$6),$AP30-SUM($AW30,$AY30:$AZ30)&lt;0),BE30+($BF30*(F30/$H30))+(-$BP30*(F30/$H30))+(BP30*(F30/$H30)),AND(A30&gt;=DA$4,B30&gt;=DB$4,$AQ30-SUM($AW30,$AY30:$AZ30)&lt;0),BE30+($BF30*(F30/$H30))+(-$BP30*(F30/$H30))+(BP30*(F30/$H30)),AND(B30&gt;=DB$4,F30&lt;BE30+$BF30-$BP30),F30,AND(B30&gt;=DB$4,$AP30-SUM($AW30,$AY30:$AZ30)&lt;0),BE30+($BF30*(F30/$H30))+(-$BP30*(F30/$H30))+(BP30*(F30/$H30)),B30&gt;=DB$4,BE30+$BF30-$BP30)</f>
        <v>0</v>
      </c>
      <c r="BJ30" s="64" cm="1">
        <f t="array" ref="BJ30">IF(AW30+BA30+BG30&gt;0, AW30+BA30+BG30-_xlfn.IFS(AND(A30&gt;=65,B30&gt;=65),VLOOKUP(Setup!I$4,Lookups!C$133:F$136,4),OR(A30&gt;=65,B30&gt;=65),VLOOKUP(Setup!I$4,Lookups!C$133:E$136,3),AND(A30&lt;65,B30&lt;65),VLOOKUP(Setup!I$4,Lookups!C$133:D$136,2)),0)</f>
        <v>0</v>
      </c>
      <c r="BK30" s="1" cm="1">
        <f t="array" ref="BK30">IF(BJ30&gt;0,_xlfn.IFS(Setup!I$4=Lookups!D$109,-_xlfn.IFS($BJ30&gt;=Lookups!D$157, Lookups!F$157+($BJ30-Lookups!D$157)*Lookups!G$157,$BJ30&gt;=Lookups!D$156, Lookups!F$156+($BJ30-Lookups!D$156)*Lookups!G$156,$BJ30&gt;=Lookups!D$155, Lookups!F$155+($BJ30-Lookups!D$155)*Lookups!G$155,$BJ30&gt;=Lookups!D$154, Lookups!F$154+($BJ30-Lookups!D$154)*Lookups!G$154,$BJ30&gt;=Lookups!D$153, Lookups!F$153+($BJ30-Lookups!D$153)*Lookups!G$153,$BJ30&gt;=Lookups!D$152, Lookups!F$152+($BJ30-Lookups!D$152)*Lookups!G$152,$BJ30&lt;Lookups!D$152,$BJ30*Lookups!G$151),Setup!I$4=Lookups!D$110,-_xlfn.IFS($BJ30&gt;=Lookups!D$167, Lookups!F$167+($BJ30-Lookups!D$167)*Lookups!G$167,$BJ30&gt;=Lookups!D$166, Lookups!F$166+($BJ30-Lookups!D$166)*Lookups!G$166,$BJ30&gt;=Lookups!D$165, Lookups!F$165+($BJ30-Lookups!D$165)*Lookups!G$165,$BJ30&gt;=Lookups!D$164, Lookups!F$164+($BJ30-Lookups!D$164)*Lookups!G$164,$BJ30&gt;=Lookups!D$163, Lookups!F$163+($BJ30-Lookups!D$163)*Lookups!G$163,$BJ30&gt;=Lookups!D$162, Lookups!F$162+($BJ30-Lookups!D$162)*Lookups!G$162,$BJ30&lt;Lookups!D$162,$BJ30*Lookups!G$161),Setup!I$4=Lookups!D$111,-_xlfn.IFS($BJ30&gt;=Lookups!D$177, Lookups!F$177+($BJ30-Lookups!D$177)*Lookups!G$177,$BJ30&gt;=Lookups!D$176, Lookups!F$176+($BJ30-Lookups!D$176)*Lookups!G$176,$BJ30&gt;=Lookups!D$175, Lookups!F$175+($BJ30-Lookups!D$175)*Lookups!G$175,$BJ30&gt;=Lookups!D$174, Lookups!F$174+($BJ30-Lookups!D$174)*Lookups!G$174,$BJ30&gt;=Lookups!D$173, Lookups!F$173+($BJ30-Lookups!D$173)*Lookups!G$173,$BJ30&gt;=Lookups!D$172, Lookups!F$172+($BJ30-Lookups!D$172)*Lookups!G$172,$BJ30&lt;Lookups!D$172,$BJ30*Lookups!G$171), Setup!I$4=Lookups!D$112,-_xlfn.IFS($BJ30&gt;=Lookups!D$187, Lookups!F$187+($BJ30-Lookups!D$187)*Lookups!G$187,$BJ30&gt;=Lookups!D$186, Lookups!F$186+($BJ30-Lookups!D$186)*Lookups!G$186,$BJ30&gt;=Lookups!D$185, Lookups!F$185+($BJ30-Lookups!D$185)*Lookups!G$185,$BJ30&gt;=Lookups!D$184, Lookups!F$184+($BJ30-Lookups!D$184)*Lookups!G$184,$BJ30&gt;=Lookups!D$183, Lookups!F$183+($BJ30-Lookups!D$183)*Lookups!G$183,$BJ30&gt;=Lookups!D$182, Lookups!F$182+($BJ30-Lookups!D$182)*Lookups!G$182,$BJ30&lt;Lookups!D$182,$BJ30*Lookups!G$181)),0)</f>
        <v>0</v>
      </c>
      <c r="BL30" s="18">
        <f t="shared" si="10"/>
        <v>0</v>
      </c>
      <c r="BM30" s="134">
        <f t="shared" si="24"/>
        <v>0</v>
      </c>
      <c r="BN30" s="134" cm="1">
        <f t="array" aca="1" ref="BN30" ca="1">INDIRECT(Setup!I$6&amp;"!"&amp;"A"&amp;ROW())</f>
        <v>0</v>
      </c>
      <c r="BO30" s="134">
        <f t="shared" si="25"/>
        <v>0</v>
      </c>
      <c r="BP30" s="1">
        <f t="shared" si="11"/>
        <v>0</v>
      </c>
      <c r="BQ30" s="1">
        <f t="shared" si="26"/>
        <v>0</v>
      </c>
      <c r="BS30" s="1">
        <f t="shared" si="27"/>
        <v>0</v>
      </c>
      <c r="BT30" s="1" cm="1">
        <f t="array" ref="BT30">-IF(BS30&gt;0,_xlfn.IFS((AW30+BA30+BG30+BS30)&gt;=VLOOKUP(Setup!I$4,Lookups!C$210:E$213,3),BS30*Lookups!D$203,(AW30+BA30+BG30+BS30)&gt;=VLOOKUP(Setup!I$4,Lookups!C$210:E$213,2),BS30*Lookups!D$197,(AW30+BA30+BG30+BS30)&lt;VLOOKUP(Setup!I$4,Lookups!C$210:E$213,2),0),0)</f>
        <v>0</v>
      </c>
      <c r="BU30" s="18">
        <f t="shared" si="28"/>
        <v>0</v>
      </c>
      <c r="BV30" s="1">
        <f t="shared" si="29"/>
        <v>0</v>
      </c>
      <c r="BW30" s="1" cm="1">
        <f t="array" aca="1" ref="BW30" ca="1">INDIRECT(Setup!I$6&amp;"!"&amp;"A"&amp;ROW()+100)</f>
        <v>0</v>
      </c>
      <c r="BX30" s="1">
        <f t="shared" ca="1" si="15"/>
        <v>0</v>
      </c>
      <c r="BY30" s="1">
        <f t="shared" ca="1" si="16"/>
        <v>0</v>
      </c>
      <c r="CA30" s="1">
        <f t="shared" si="34"/>
        <v>0</v>
      </c>
      <c r="CC30" s="1" cm="1">
        <f t="array" ref="CC30">_xlfn.IFS(AND(A30&lt;$DA$4,B30&lt;$DB$4),0,AND(AND(A30&gt;=$DA$4,B30&gt;=$DB$4),AND(A30&lt;=$DA$6,B30&lt;=$DB$6),AND(BH30=0,BI30=0)),SUM(AW30,AY30:AZ30,BD30:BF30,BP30,BS30,CA30)-AQ30,AND(AND(A30&gt;=$DA$4,B30&gt;=$DB$4),AND(A30&lt;=$DA$6,B30&lt;=$DB$6)),SUM(AW30,AY30:AZ30,BD30:BF30,BS30,CA30)-AQ30,AND(OR(A30&gt;=$DA$4,B30&gt;=$DB$4),AND(BH30=0,BI30=0)),SUM(AW30,AY30:AZ30,BD30:BF30,BP30,BS30,CA30)-AP30,OR(A30&gt;=$DA$4,B30&gt;=$DB$4),SUM(AW30,AY30:AZ30,BD30:BF30,BS30,CA30)-AP30)</f>
        <v>0</v>
      </c>
      <c r="CD30" s="142" t="str">
        <f t="shared" si="30"/>
        <v/>
      </c>
    </row>
    <row r="31" spans="1:83" x14ac:dyDescent="0.3">
      <c r="A31" s="354">
        <f t="shared" si="31"/>
        <v>24</v>
      </c>
      <c r="B31" s="354">
        <f t="shared" si="32"/>
        <v>24</v>
      </c>
      <c r="C31" s="359">
        <f t="shared" si="33"/>
        <v>8767</v>
      </c>
      <c r="D31" s="326" cm="1">
        <f t="array" ref="D31">_xlfn.IFS(AND(A31&gt;DA$6,B31&gt;DB$6),0,AND(A31&gt;DA$3,A31&lt;=DA$4),D30*(1+DH$1),OR(A31&gt;DA$6,A31&gt;DA$4),(D30-BH30)*(1+DH$2),A31&lt;=DA$4,(D30*(1+DH$1))+(D$4))</f>
        <v>0</v>
      </c>
      <c r="E31" s="375"/>
      <c r="F31" s="326" cm="1">
        <f t="array" ref="F31">_xlfn.IFS(AND(A31&gt;DA$6,B31&gt;DB$6),0,AND(B31&gt;DB$3,B31&lt;=DB$4),F30*(1+DH$1),OR(B31&gt;DB$6,B31&gt;DB$4),(F30-BI30)*(1+DH$2),B31&lt;=DB$4,(F30*(1+DH$1))+(F$4))</f>
        <v>0</v>
      </c>
      <c r="G31" s="375"/>
      <c r="H31" s="1">
        <f t="shared" si="17"/>
        <v>0</v>
      </c>
      <c r="I31" s="2">
        <f t="shared" si="2"/>
        <v>0</v>
      </c>
      <c r="J31" s="14">
        <f t="shared" si="35"/>
        <v>0</v>
      </c>
      <c r="L31" s="402" cm="1">
        <f t="array" ref="L31">_xlfn.IFS(AND(A31&gt;DA$6,B31&gt;DB$6),0,A31&lt;DA$6,0,A31=DA$6,L$4,AND(A31&gt;DA$6,B31&lt;=DB$4),L30*(1+DH$1),AND(A31&gt;DA$6,B31&gt;DB$4),IF(Y30=0,0,(L30-((L30/Y30)*BY30))*(1+DH$2)))</f>
        <v>0</v>
      </c>
      <c r="M31" s="402" cm="1">
        <f t="array" ref="M31">_xlfn.IFS(AND(A31&gt;DA$6,B31&gt;DB$6),0,B31&lt;DB$6,0,B31=DB$6,M$4,AND(B31&gt;DB$6,A31&lt;=DA$4),M30*(1+DH$1),AND(A31&gt;DA$4,B31&gt;DB$6),IF(Y30=0,0,(M30-((M30/Y30)*BY30))*(1+DH$2)))</f>
        <v>0</v>
      </c>
      <c r="N31" s="327"/>
      <c r="O31" s="327" cm="1">
        <f t="array" ref="O31">_xlfn.IFS(OR(ISBLANK(Setup!C$63),Setup!C$63&gt;YEAR(C31),AND(A31&gt;DA$6,B31&gt;DB$6),ISBLANK(Y30)),0,Setup!C$63=YEAR(C31),Setup!C$62,AND(OR(A31&lt;=DA$4,B31&lt;=DB$4),Setup!C$63&lt;YEAR(C31)),O30*(1+DH$1),AND(A31&gt;DA$4,B31&gt;DB$4,Setup!C$63&lt;YEAR(C31)),IF(Y30=0,0,(O30-((O30/Y30)*BY30))*(1+DH$2)))</f>
        <v>0</v>
      </c>
      <c r="P31" s="327" cm="1">
        <f t="array" ref="P31">_xlfn.IFS(OR(ISBLANK(Setup!C$67),Setup!C$67&gt;YEAR(C31),AND(A31&gt;DA$6,B31&gt;DB$6)),0,Setup!C$67=YEAR(C31),Setup!C$66,AND(OR(A31&lt;=DA$4,B31&lt;=DB$4),Setup!C$67&lt;YEAR(C31)),P30*(1+DH$1),AND(A31&gt;DA$4,B31&gt;DB$4,Setup!C$67&lt;YEAR(C31)),IF(Y30=0,0,(P30-((P30/Y30)*BY30))*(1+DH$2)))</f>
        <v>0</v>
      </c>
      <c r="Q31" s="327" cm="1">
        <f t="array" ref="Q31">_xlfn.IFS(OR(ISBLANK(Setup!C$71),Setup!C$71&gt;YEAR(C31),AND(A31&gt;DA$6,B31&gt;DB$6)),0,Setup!C$71=YEAR(C31),Setup!C$70,AND(OR(A31&lt;=DA$4,B31&lt;=DB$4),Setup!C$71&lt;YEAR(C31)),Q30*(1+DH$1),AND(A31&gt;DA$4,B31&gt;DB$4,Setup!C$71&lt;YEAR(C31)),IF(Y30=0,0,(Q30-((Q30/Y30)*BY30))*(1+DH$2)))</f>
        <v>0</v>
      </c>
      <c r="R31" s="327" cm="1">
        <f t="array" ref="R31">_xlfn.IFS(OR(ISBLANK(Setup!C$75),Setup!C$75&gt;YEAR(C31),AND(A31&gt;DA$6,B31&gt;DB$6)),0,Setup!C$75=YEAR(C31),Setup!C$74,AND(OR(A31&lt;=DA$4,B31&lt;=DB$4),Setup!C$75&lt;YEAR(C31)),R30*(1+DH$1),AND(A31&gt;DA$4,B31&gt;DB$4,Setup!C$75&lt;YEAR(C31)),IF(Y30=0,0,(R30-((R30/Y30)*BY30))*(1+DH$2)))</f>
        <v>0</v>
      </c>
      <c r="S31" s="327"/>
      <c r="T31" s="326" cm="1">
        <f t="array" ref="T31">_xlfn.IFS(AND($A31&gt;$DA$6,$B31&gt;$DB$6),0,AND($W$2=$DA$2,$A31&gt;$DA$4),IF($Y30=0,0,(T30-((T30/$Y30)*$BY30))*(1+$DH$2)),AND($W$2=$DB$2,$B31&gt;$DB$4),IF($Y30=0,0,(T30-((T30/$Y30)*$BY30))*(1+$DH$2)),AND($W$2=$DA$2,OR($A31&gt;$DA$3,$A31&gt;$DA$6)),(T30*(1+$DH$1)),AND($W$2=$DB$2,OR($B31&gt;$DB$3,$B31&gt;$DB$6)),(T30*(1+$DH$1)),AND($W$2=$DA$2,$A31&lt;=$DA$3,$A31&lt;=$DA$4,$A31&lt;=$DA$5),(T30*(1+$DH$1))+(T$4),AND($W$2=$DB$2,$B31&lt;=$DB$3,$B31&lt;=$DB$4,$B31&lt;=$DB$5),(T30*(1+$DH$1))+(T$4))</f>
        <v>0</v>
      </c>
      <c r="U31" s="326" cm="1">
        <f t="array" ref="U31">_xlfn.IFS(AND($A31&gt;$DA$6,$B31&gt;$DB$6),0,AND($W$2=$DA$2,$A31&gt;$DA$4),IF($Y30=0,0,(U30-((U30/$Y30)*$BY30))*(1+$DH$2)),AND($W$2=$DB$2,$B31&gt;$DB$4),IF($Y30=0,0,(U30-((U30/$Y30)*$BY30))*(1+$DH$2)),AND($W$2=$DA$2,OR($A31&gt;$DA$3,$A31&gt;$DA$6)),(U30*(1+$DH$1)),AND($W$2=$DB$2,OR($B31&gt;$DB$3,$B31&gt;$DB$6)),(U30*(1+$DH$1)),AND($W$2=$DA$2,$A31&lt;=$DA$3,$A31&lt;=$DA$4,$A31&lt;=$DA$5),(U30*(1+$DH$1))+(U$4),AND($W$2=$DB$2,$B31&lt;=$DB$3,$B31&lt;=$DB$4,$B31&lt;=$DB$5),(U30*(1+$DH$1))+(U$4))</f>
        <v>0</v>
      </c>
      <c r="V31" s="326" cm="1">
        <f t="array" ref="V31">_xlfn.IFS(AND($A31&gt;$DA$6,$B31&gt;$DB$6),0,AND($W$2=$DA$2,$A31&gt;$DA$4),IF($Y30=0,0,(V30-((V30/$Y30)*$BY30))*(1+$DH$2)),AND($W$2=$DB$2,$B31&gt;$DB$4),IF($Y30=0,0,(V30-((V30/$Y30)*$BY30))*(1+$DH$2)),AND($W$2=$DA$2,OR($A31&gt;$DA$3,$A31&gt;$DA$6)),(V30*(1+$DH$1)),AND($W$2=$DB$2,OR($B31&gt;$DB$3,$B31&gt;$DB$6)),(V30*(1+$DH$1)),AND($W$2=$DA$2,$A31&lt;=$DA$3,$A31&lt;=$DA$4,$A31&lt;=$DA$5),(V30*(1+$DH$1))+(V$4),AND($W$2=$DB$2,$B31&lt;=$DB$3,$B31&lt;=$DB$4,$B31&lt;=$DB$5),(V30*(1+$DH$1))+(V$4))</f>
        <v>0</v>
      </c>
      <c r="W31" s="326" cm="1">
        <f t="array" ref="W31">_xlfn.IFS(AND($A31&gt;$DA$6,$B31&gt;$DB$6),0,AND($W$2=$DA$2,$A31&gt;$DA$4),IF($Y30=0,0,(W30-((W30/$Y30)*$BY30))*(1+$DH$2)),AND($W$2=$DB$2,$B31&gt;$DB$4),IF($Y30=0,0,(W30-((W30/$Y30)*$BY30))*(1+$DH$2)),AND($W$2=$DA$2,OR($A31&gt;$DA$3,$A31&gt;$DA$6)),(W30*(1+$DH$1)),AND($W$2=$DB$2,OR($B31&gt;$DB$3,$B31&gt;$DB$6)),(W30*(1+$DH$1)),AND($W$2=$DA$2,$A31&lt;=$DA$3,$A31&lt;=$DA$4,$A31&lt;=$DA$5),(W30*(1+$DH$1))+(W$4),AND($W$2=$DB$2,$B31&lt;=$DB$3,$B31&lt;=$DB$4,$B31&lt;=$DB$5),(W30*(1+$DH$1))+(W$4))</f>
        <v>0</v>
      </c>
      <c r="Y31" s="1">
        <f t="shared" si="18"/>
        <v>0</v>
      </c>
      <c r="Z31" s="2">
        <f t="shared" si="19"/>
        <v>0</v>
      </c>
      <c r="AA31" s="375"/>
      <c r="AC31" s="326" cm="1">
        <f t="array" ref="AC31">_xlfn.IFS(AND(A31&gt;DA$6,B31&gt;DB$6),0,AND(A31&gt;DA$4,B31&gt;DB$4),IF(AG30=0,0,(AC30-((AC30/AG30)*CA30))*(1+DH$2)),OR(A31&gt;DA$3,A31&gt;DA$6),AC30*(1+DH$1),A31&gt;DA$4,(AC30-CA30)*(1+DH$2),AND(A31&lt;=DA$3,A31&lt;=DA$4,A31&lt;=DA$6),(AC30*(1+DH$1))+(AC$4))</f>
        <v>0</v>
      </c>
      <c r="AD31" s="375"/>
      <c r="AE31" s="326" cm="1">
        <f t="array" ref="AE31">_xlfn.IFS(AND(A31&gt;DA$6,B31&gt;DB$6),0,AND(A31&gt;DA$4,B31&gt;DB$4),IF(AG30=0,0,(AE30-((AE30/AG30)*CA30))*(1+DH$2)),OR(B31&gt;DB$3,B31&gt;DB$6),AE30*(1+DH$1),B31&gt;DB$4,(AE30-CA30)*(1+DH$2),AND(B31&lt;=DB$3,B31&lt;=DB$4,B31&lt;=DB$6),(AE30*(1+DH$1))+(AE$4))</f>
        <v>0</v>
      </c>
      <c r="AF31" s="375"/>
      <c r="AG31" s="1">
        <f t="shared" si="5"/>
        <v>0</v>
      </c>
      <c r="AH31" s="2">
        <f t="shared" si="20"/>
        <v>0</v>
      </c>
      <c r="AI31" s="14">
        <f t="shared" si="6"/>
        <v>0</v>
      </c>
      <c r="AK31" s="1">
        <f t="shared" si="21"/>
        <v>0</v>
      </c>
      <c r="AL31" s="14">
        <f t="shared" si="22"/>
        <v>0</v>
      </c>
      <c r="AM31" s="14" t="str">
        <f t="shared" si="23"/>
        <v/>
      </c>
      <c r="AO31" s="15">
        <f t="shared" si="7"/>
        <v>0</v>
      </c>
      <c r="AP31" s="1">
        <f>IF(AND(B31&gt;=$DB$6,A31&gt;=$DA$6),0,AP30*(1+Lookups!C$12))</f>
        <v>0</v>
      </c>
      <c r="AQ31" s="1">
        <f>IF(AND(B31&gt;=$DB$6,A31&gt;=$DA$6),0,AQ30*(1+Lookups!C$12))</f>
        <v>0</v>
      </c>
      <c r="AS31" s="1" cm="1">
        <f t="array" ref="AS31">_xlfn.IFS(OR(AS$6="",AND(A31&gt;=DA$6,B31&gt;=DB$6),AND(A31&lt;DA$4,B31&lt;DB$4)),0,AND(A31=DA$4,DA$4&lt;=DB$4),AS$6,AND(B31=DB$4,DA$4&gt;=DB$4),AS$6,OR(A31&gt;DA$4,B31&gt;DB$4),AS30*(1+Setup!C$103))</f>
        <v>0</v>
      </c>
      <c r="AT31" s="1" cm="1">
        <f t="array" ref="AT31">_xlfn.IFS(OR(AT$6="",AND(A31&gt;=DA$6,B31&gt;=DB$6),AND(A31&lt;DA$4,B31&lt;DB$4)),0,AND(A31=DA$4,DA$4&lt;=DB$4),AT$6,AND(B31=DB$4,DA$4&gt;=DB$4),AT$6,OR(A31&gt;DA$4,B31&gt;DB$4),AT30*(1+Setup!C$103))</f>
        <v>0</v>
      </c>
      <c r="AU31" s="1" cm="1">
        <f t="array" ref="AU31">_xlfn.IFS(OR(AU$6="",AND(A31&gt;=DA$6,B31&gt;=DB$6),AND(A31&lt;DA$4,B31&lt;DB$4)),0,AND(A31=DA$4,DA$4&lt;=DB$4),AU$6,AND(B31=DB$4,DA$4&gt;=DB$4),AU$6,OR(A31&gt;DA$4,B31&gt;DB$4),AU30*(1+Setup!C$103))</f>
        <v>0</v>
      </c>
      <c r="AV31" s="1" cm="1">
        <f t="array" ref="AV31">_xlfn.IFS(OR(AV$6="",AND(A31&gt;=DA$6,B31&gt;=DB$6),AND(A31&lt;DA$4,B31&lt;DB$4)),0,AND(A31=DA$4,DA$4&lt;=DB$4),AV$6,AND(B31=DB$4,DA$4&gt;=DB$4),AV$6,OR(A31&gt;DA$4,B31&gt;DB$4),AV30*(1+Setup!C$103))</f>
        <v>0</v>
      </c>
      <c r="AW31" s="1">
        <f t="shared" si="8"/>
        <v>0</v>
      </c>
      <c r="AY31" s="1" cm="1">
        <f t="array" ref="AY31">_xlfn.IFS(OR(AND(A31&gt;=DA$6,B31&gt;=DB$6),A31&lt;DA$5),0,AND(A31=DA$5,YEAR(C31)&gt;=Lookups!D$89),VLOOKUP(A31,Lookups!B$94:F$102,3),AND(A31=DA$5,YEAR(C31)&lt;Lookups!D$89),VLOOKUP(A31,Lookups!B$94:F$102,2),AND(A31&gt;DA$5,YEAR(C31)=Lookups!D$89),(AY30*Lookups!D$90)*(1+Lookups!C$20),AND(A31&gt;DA$5,YEAR(C31)&lt;&gt;Lookups!D$89),AY30*(1+Lookups!C$20))</f>
        <v>0</v>
      </c>
      <c r="AZ31" s="1" cm="1">
        <f t="array" ref="AZ31">_xlfn.IFS(OR(ISBLANK(Setup!K$91),Setup!K$91=0,AND(A31&gt;=DA$6,B31&gt;=DB$6),B31&lt;DB$5),0,AND(B31=DB$5,YEAR(C31)&gt;=Lookups!D$89),VLOOKUP(B31,Lookups!B$94:F$102,5),AND(B31=DB$5,YEAR(C31)&lt;Lookups!D$89),VLOOKUP(B31,Lookups!B$94:F$102,4),AND(B31&gt;DB$5,YEAR(C31)=Lookups!D$89),(AZ30*Lookups!D$90)*(1+Lookups!C$20),AND(B31&gt;DB$5,YEAR(C31)&lt;&gt;Lookups!D$89),AZ30*(1+Lookups!C$20))</f>
        <v>0</v>
      </c>
      <c r="BA31" s="65">
        <f>IF(OR(AY31&gt;0,AZ31&gt;0),(AY31+AZ31)*Lookups!D$120,0)</f>
        <v>0</v>
      </c>
      <c r="BB31" s="1" cm="1">
        <f t="array" ref="BB31">_xlfn.IFS(AND(A31&lt;DA$4,B31&lt;DB$4),0,OR(_xlfn.XOR(A31&gt;DA$6,B31&gt;DB$6),_xlfn.XOR(A31&gt;=DA$4,B31&gt;=DB$4)),IF(AP31-SUM(AW31,AY31:AZ31)&gt;0,AP31-SUM(AW31,AY31:AZ31),0),AQ31-SUM(AW31,AY31:AZ31)&gt;0, AQ31-SUM(AW31,AY31:AZ31),AQ31-SUM(AW31,AY31:AZ31)&lt;=0,0)</f>
        <v>0</v>
      </c>
      <c r="BD31" s="1" cm="1">
        <f t="array" ref="BD31">_xlfn.IFS(AND(A31&gt;=DA$6,B31&gt;=DB$6),0,AND(A31&gt;=DA$6,B31&gt;=Lookups!C$35),D31/VLOOKUP(B31,Lookups!C$37:D$67,2),A31&lt;Lookups!$C$35,0,A31&gt;=Lookups!C$35,D31/VLOOKUP(A31,Lookups!C$37:D$67,2))</f>
        <v>0</v>
      </c>
      <c r="BE31" s="1" cm="1">
        <f t="array" ref="BE31">_xlfn.IFS(AND(A31&gt;=DA$6,B31&gt;=DB$6),0,AND(B31&gt;=DB$6,A31&gt;=Lookups!C$35),F31/VLOOKUP(A31,Lookups!C$37:D$67,2),B31&lt;Lookups!$C$35,0,B31&gt;=Lookups!C$35,F31/VLOOKUP(B31,Lookups!C$37:D$67,2))</f>
        <v>0</v>
      </c>
      <c r="BF31" s="1" cm="1">
        <f t="array" ref="BF31">_xlfn.IFS($BB31&lt;=0,0,AND(A31&gt;=DA$4,B31&gt;=DB$4,$BB31*I31&lt;(BD31+BE31)),0,AND(A31&gt;=DA$4,B31&gt;=DB$4,H31&gt;=(BB31*I31)-BD31-BE31),(BB31*I31)-BD31-BE31,AND(A31&gt;=DA$4,B31&gt;=DB$4,H31&lt;(BB31*I31)-BD31-BE31),H31,AND(A31&gt;=DA$4,$BB31*I31&lt;(BD31)),0,AND(A31&gt;=DA$4,H31&gt;=(BB31*I31)-BD31),(BB31*I31)-BD31,AND(A31&gt;=DA$4,H31&lt;(BB31*I31)-BD31),H31,AND(B31&gt;=DB$4,$BB31*I31&lt;(BE31)),0,AND(B31&gt;=DB$4,H31&gt;=(BB31*I31)-BE31),(BB31*I31)-BE31,AND(B31&gt;=DB$4,H31&lt;(BB31*I31)-BE31),H31)</f>
        <v>0</v>
      </c>
      <c r="BG31" s="1">
        <f t="shared" si="9"/>
        <v>0</v>
      </c>
      <c r="BH31" s="1" cm="1">
        <f t="array" ref="BH31">_xlfn.IFS(OR(D31=0,A31&lt;DA$4),0,AND(A31&gt;=DA$4,B31&gt;=DB$4,D31&lt;BD31+($BF31*(D31/$H31))+(-$BP31*(D31/$H31))),D31,AND(A31&gt;=DA$4,B31&gt;=DB$4,$BB31&gt;$BG31),BD31+($BF31*(D31/$H31))+(-$BP31*(D31/$H31)),AND(A31&gt;=DA$4,B31&gt;=DB$4,OR(A31&gt;DA$6, B31&gt;DB$6),$AP31-SUM($AW31,$AY31:$AZ31)&lt;0),BD31+($BF31*(D31/$H31))+(-$BP31*(D31/$H31))+(BP31*(D31/$H31)),AND(A31&gt;=DA$4,B31&gt;=DB$4,$AQ31-SUM($AW31,$AY31:$AZ31)&lt;0),BD31+($BF31*(D31/$H31))+(-$BP31*(D31/$H31))+(BP31*(D31/$H31)),AND(A31&gt;=DA$4,D31&lt;BD31+$BF31-$BP31),D31,AND(A31&gt;=DA$4,$AP31-SUM($AW31,$AY31:$AZ31)&lt;0),BD31+($BF31*(D31/$H31))+(-$BP31*(D31/$H31))+(BP31*(D31/$H31)),A31&gt;=DA$4,BD31+$BF31-$BP31)</f>
        <v>0</v>
      </c>
      <c r="BI31" s="1" cm="1">
        <f t="array" ref="BI31">_xlfn.IFS(OR(F31=0,B31&lt;DB$4),0,AND(A31&gt;=DA$4,B31&gt;=DB$4,F31&lt;BE31+($BF31*(F31/$H31))+(-$BP31*(F31/$H31))),F31,AND(A31&gt;=DA$4,B31&gt;=DB$4,$BB31&gt;$BG31),BE31+($BF31*(F31/$H31))+(-$BP31*(F31/$H31)),AND(A31&gt;=DA$4,B31&gt;=DB$4,OR(A31&gt;DA$6, B31&gt;DB$6),$AP31-SUM($AW31,$AY31:$AZ31)&lt;0),BE31+($BF31*(F31/$H31))+(-$BP31*(F31/$H31))+(BP31*(F31/$H31)),AND(A31&gt;=DA$4,B31&gt;=DB$4,$AQ31-SUM($AW31,$AY31:$AZ31)&lt;0),BE31+($BF31*(F31/$H31))+(-$BP31*(F31/$H31))+(BP31*(F31/$H31)),AND(B31&gt;=DB$4,F31&lt;BE31+$BF31-$BP31),F31,AND(B31&gt;=DB$4,$AP31-SUM($AW31,$AY31:$AZ31)&lt;0),BE31+($BF31*(F31/$H31))+(-$BP31*(F31/$H31))+(BP31*(F31/$H31)),B31&gt;=DB$4,BE31+$BF31-$BP31)</f>
        <v>0</v>
      </c>
      <c r="BJ31" s="64" cm="1">
        <f t="array" ref="BJ31">IF(AW31+BA31+BG31&gt;0, AW31+BA31+BG31-_xlfn.IFS(AND(A31&gt;=65,B31&gt;=65),VLOOKUP(Setup!I$4,Lookups!C$133:F$136,4),OR(A31&gt;=65,B31&gt;=65),VLOOKUP(Setup!I$4,Lookups!C$133:E$136,3),AND(A31&lt;65,B31&lt;65),VLOOKUP(Setup!I$4,Lookups!C$133:D$136,2)),0)</f>
        <v>0</v>
      </c>
      <c r="BK31" s="1" cm="1">
        <f t="array" ref="BK31">IF(BJ31&gt;0,_xlfn.IFS(Setup!I$4=Lookups!D$109,-_xlfn.IFS($BJ31&gt;=Lookups!D$157, Lookups!F$157+($BJ31-Lookups!D$157)*Lookups!G$157,$BJ31&gt;=Lookups!D$156, Lookups!F$156+($BJ31-Lookups!D$156)*Lookups!G$156,$BJ31&gt;=Lookups!D$155, Lookups!F$155+($BJ31-Lookups!D$155)*Lookups!G$155,$BJ31&gt;=Lookups!D$154, Lookups!F$154+($BJ31-Lookups!D$154)*Lookups!G$154,$BJ31&gt;=Lookups!D$153, Lookups!F$153+($BJ31-Lookups!D$153)*Lookups!G$153,$BJ31&gt;=Lookups!D$152, Lookups!F$152+($BJ31-Lookups!D$152)*Lookups!G$152,$BJ31&lt;Lookups!D$152,$BJ31*Lookups!G$151),Setup!I$4=Lookups!D$110,-_xlfn.IFS($BJ31&gt;=Lookups!D$167, Lookups!F$167+($BJ31-Lookups!D$167)*Lookups!G$167,$BJ31&gt;=Lookups!D$166, Lookups!F$166+($BJ31-Lookups!D$166)*Lookups!G$166,$BJ31&gt;=Lookups!D$165, Lookups!F$165+($BJ31-Lookups!D$165)*Lookups!G$165,$BJ31&gt;=Lookups!D$164, Lookups!F$164+($BJ31-Lookups!D$164)*Lookups!G$164,$BJ31&gt;=Lookups!D$163, Lookups!F$163+($BJ31-Lookups!D$163)*Lookups!G$163,$BJ31&gt;=Lookups!D$162, Lookups!F$162+($BJ31-Lookups!D$162)*Lookups!G$162,$BJ31&lt;Lookups!D$162,$BJ31*Lookups!G$161),Setup!I$4=Lookups!D$111,-_xlfn.IFS($BJ31&gt;=Lookups!D$177, Lookups!F$177+($BJ31-Lookups!D$177)*Lookups!G$177,$BJ31&gt;=Lookups!D$176, Lookups!F$176+($BJ31-Lookups!D$176)*Lookups!G$176,$BJ31&gt;=Lookups!D$175, Lookups!F$175+($BJ31-Lookups!D$175)*Lookups!G$175,$BJ31&gt;=Lookups!D$174, Lookups!F$174+($BJ31-Lookups!D$174)*Lookups!G$174,$BJ31&gt;=Lookups!D$173, Lookups!F$173+($BJ31-Lookups!D$173)*Lookups!G$173,$BJ31&gt;=Lookups!D$172, Lookups!F$172+($BJ31-Lookups!D$172)*Lookups!G$172,$BJ31&lt;Lookups!D$172,$BJ31*Lookups!G$171), Setup!I$4=Lookups!D$112,-_xlfn.IFS($BJ31&gt;=Lookups!D$187, Lookups!F$187+($BJ31-Lookups!D$187)*Lookups!G$187,$BJ31&gt;=Lookups!D$186, Lookups!F$186+($BJ31-Lookups!D$186)*Lookups!G$186,$BJ31&gt;=Lookups!D$185, Lookups!F$185+($BJ31-Lookups!D$185)*Lookups!G$185,$BJ31&gt;=Lookups!D$184, Lookups!F$184+($BJ31-Lookups!D$184)*Lookups!G$184,$BJ31&gt;=Lookups!D$183, Lookups!F$183+($BJ31-Lookups!D$183)*Lookups!G$183,$BJ31&gt;=Lookups!D$182, Lookups!F$182+($BJ31-Lookups!D$182)*Lookups!G$182,$BJ31&lt;Lookups!D$182,$BJ31*Lookups!G$181)),0)</f>
        <v>0</v>
      </c>
      <c r="BL31" s="18">
        <f t="shared" si="10"/>
        <v>0</v>
      </c>
      <c r="BM31" s="134">
        <f t="shared" si="24"/>
        <v>0</v>
      </c>
      <c r="BN31" s="134" cm="1">
        <f t="array" aca="1" ref="BN31" ca="1">INDIRECT(Setup!I$6&amp;"!"&amp;"A"&amp;ROW())</f>
        <v>0</v>
      </c>
      <c r="BO31" s="134">
        <f t="shared" si="25"/>
        <v>0</v>
      </c>
      <c r="BP31" s="1">
        <f t="shared" si="11"/>
        <v>0</v>
      </c>
      <c r="BQ31" s="1">
        <f t="shared" si="26"/>
        <v>0</v>
      </c>
      <c r="BS31" s="1">
        <f t="shared" si="27"/>
        <v>0</v>
      </c>
      <c r="BT31" s="1" cm="1">
        <f t="array" ref="BT31">-IF(BS31&gt;0,_xlfn.IFS((AW31+BA31+BG31+BS31)&gt;=VLOOKUP(Setup!I$4,Lookups!C$210:E$213,3),BS31*Lookups!D$203,(AW31+BA31+BG31+BS31)&gt;=VLOOKUP(Setup!I$4,Lookups!C$210:E$213,2),BS31*Lookups!D$197,(AW31+BA31+BG31+BS31)&lt;VLOOKUP(Setup!I$4,Lookups!C$210:E$213,2),0),0)</f>
        <v>0</v>
      </c>
      <c r="BU31" s="18">
        <f t="shared" si="28"/>
        <v>0</v>
      </c>
      <c r="BV31" s="1">
        <f t="shared" si="29"/>
        <v>0</v>
      </c>
      <c r="BW31" s="1" cm="1">
        <f t="array" aca="1" ref="BW31" ca="1">INDIRECT(Setup!I$6&amp;"!"&amp;"A"&amp;ROW()+100)</f>
        <v>0</v>
      </c>
      <c r="BX31" s="1">
        <f t="shared" ca="1" si="15"/>
        <v>0</v>
      </c>
      <c r="BY31" s="1">
        <f t="shared" ca="1" si="16"/>
        <v>0</v>
      </c>
      <c r="CA31" s="1">
        <f t="shared" si="34"/>
        <v>0</v>
      </c>
      <c r="CC31" s="1" cm="1">
        <f t="array" ref="CC31">_xlfn.IFS(AND(A31&lt;$DA$4,B31&lt;$DB$4),0,AND(AND(A31&gt;=$DA$4,B31&gt;=$DB$4),AND(A31&lt;=$DA$6,B31&lt;=$DB$6),AND(BH31=0,BI31=0)),SUM(AW31,AY31:AZ31,BD31:BF31,BP31,BS31,CA31)-AQ31,AND(AND(A31&gt;=$DA$4,B31&gt;=$DB$4),AND(A31&lt;=$DA$6,B31&lt;=$DB$6)),SUM(AW31,AY31:AZ31,BD31:BF31,BS31,CA31)-AQ31,AND(OR(A31&gt;=$DA$4,B31&gt;=$DB$4),AND(BH31=0,BI31=0)),SUM(AW31,AY31:AZ31,BD31:BF31,BP31,BS31,CA31)-AP31,OR(A31&gt;=$DA$4,B31&gt;=$DB$4),SUM(AW31,AY31:AZ31,BD31:BF31,BS31,CA31)-AP31)</f>
        <v>0</v>
      </c>
      <c r="CD31" s="142" t="str">
        <f t="shared" si="30"/>
        <v/>
      </c>
    </row>
    <row r="32" spans="1:83" x14ac:dyDescent="0.3">
      <c r="A32" s="354">
        <f t="shared" si="31"/>
        <v>25</v>
      </c>
      <c r="B32" s="354">
        <f t="shared" si="32"/>
        <v>25</v>
      </c>
      <c r="C32" s="359">
        <f t="shared" si="33"/>
        <v>9133</v>
      </c>
      <c r="D32" s="326" cm="1">
        <f t="array" ref="D32">_xlfn.IFS(AND(A32&gt;DA$6,B32&gt;DB$6),0,AND(A32&gt;DA$3,A32&lt;=DA$4),D31*(1+DH$1),OR(A32&gt;DA$6,A32&gt;DA$4),(D31-BH31)*(1+DH$2),A32&lt;=DA$4,(D31*(1+DH$1))+(D$4))</f>
        <v>0</v>
      </c>
      <c r="E32" s="375"/>
      <c r="F32" s="326" cm="1">
        <f t="array" ref="F32">_xlfn.IFS(AND(A32&gt;DA$6,B32&gt;DB$6),0,AND(B32&gt;DB$3,B32&lt;=DB$4),F31*(1+DH$1),OR(B32&gt;DB$6,B32&gt;DB$4),(F31-BI31)*(1+DH$2),B32&lt;=DB$4,(F31*(1+DH$1))+(F$4))</f>
        <v>0</v>
      </c>
      <c r="G32" s="375"/>
      <c r="H32" s="1">
        <f t="shared" si="17"/>
        <v>0</v>
      </c>
      <c r="I32" s="2">
        <f t="shared" si="2"/>
        <v>0</v>
      </c>
      <c r="J32" s="14">
        <f t="shared" si="35"/>
        <v>0</v>
      </c>
      <c r="L32" s="402" cm="1">
        <f t="array" ref="L32">_xlfn.IFS(AND(A32&gt;DA$6,B32&gt;DB$6),0,A32&lt;DA$6,0,A32=DA$6,L$4,AND(A32&gt;DA$6,B32&lt;=DB$4),L31*(1+DH$1),AND(A32&gt;DA$6,B32&gt;DB$4),IF(Y31=0,0,(L31-((L31/Y31)*BY31))*(1+DH$2)))</f>
        <v>0</v>
      </c>
      <c r="M32" s="402" cm="1">
        <f t="array" ref="M32">_xlfn.IFS(AND(A32&gt;DA$6,B32&gt;DB$6),0,B32&lt;DB$6,0,B32=DB$6,M$4,AND(B32&gt;DB$6,A32&lt;=DA$4),M31*(1+DH$1),AND(A32&gt;DA$4,B32&gt;DB$6),IF(Y31=0,0,(M31-((M31/Y31)*BY31))*(1+DH$2)))</f>
        <v>0</v>
      </c>
      <c r="N32" s="327"/>
      <c r="O32" s="327" cm="1">
        <f t="array" ref="O32">_xlfn.IFS(OR(ISBLANK(Setup!C$63),Setup!C$63&gt;YEAR(C32),AND(A32&gt;DA$6,B32&gt;DB$6),ISBLANK(Y31)),0,Setup!C$63=YEAR(C32),Setup!C$62,AND(OR(A32&lt;=DA$4,B32&lt;=DB$4),Setup!C$63&lt;YEAR(C32)),O31*(1+DH$1),AND(A32&gt;DA$4,B32&gt;DB$4,Setup!C$63&lt;YEAR(C32)),IF(Y31=0,0,(O31-((O31/Y31)*BY31))*(1+DH$2)))</f>
        <v>0</v>
      </c>
      <c r="P32" s="327" cm="1">
        <f t="array" ref="P32">_xlfn.IFS(OR(ISBLANK(Setup!C$67),Setup!C$67&gt;YEAR(C32),AND(A32&gt;DA$6,B32&gt;DB$6)),0,Setup!C$67=YEAR(C32),Setup!C$66,AND(OR(A32&lt;=DA$4,B32&lt;=DB$4),Setup!C$67&lt;YEAR(C32)),P31*(1+DH$1),AND(A32&gt;DA$4,B32&gt;DB$4,Setup!C$67&lt;YEAR(C32)),IF(Y31=0,0,(P31-((P31/Y31)*BY31))*(1+DH$2)))</f>
        <v>0</v>
      </c>
      <c r="Q32" s="327" cm="1">
        <f t="array" ref="Q32">_xlfn.IFS(OR(ISBLANK(Setup!C$71),Setup!C$71&gt;YEAR(C32),AND(A32&gt;DA$6,B32&gt;DB$6)),0,Setup!C$71=YEAR(C32),Setup!C$70,AND(OR(A32&lt;=DA$4,B32&lt;=DB$4),Setup!C$71&lt;YEAR(C32)),Q31*(1+DH$1),AND(A32&gt;DA$4,B32&gt;DB$4,Setup!C$71&lt;YEAR(C32)),IF(Y31=0,0,(Q31-((Q31/Y31)*BY31))*(1+DH$2)))</f>
        <v>0</v>
      </c>
      <c r="R32" s="327" cm="1">
        <f t="array" ref="R32">_xlfn.IFS(OR(ISBLANK(Setup!C$75),Setup!C$75&gt;YEAR(C32),AND(A32&gt;DA$6,B32&gt;DB$6)),0,Setup!C$75=YEAR(C32),Setup!C$74,AND(OR(A32&lt;=DA$4,B32&lt;=DB$4),Setup!C$75&lt;YEAR(C32)),R31*(1+DH$1),AND(A32&gt;DA$4,B32&gt;DB$4,Setup!C$75&lt;YEAR(C32)),IF(Y31=0,0,(R31-((R31/Y31)*BY31))*(1+DH$2)))</f>
        <v>0</v>
      </c>
      <c r="S32" s="327"/>
      <c r="T32" s="326" cm="1">
        <f t="array" ref="T32">_xlfn.IFS(AND($A32&gt;$DA$6,$B32&gt;$DB$6),0,AND($W$2=$DA$2,$A32&gt;$DA$4),IF($Y31=0,0,(T31-((T31/$Y31)*$BY31))*(1+$DH$2)),AND($W$2=$DB$2,$B32&gt;$DB$4),IF($Y31=0,0,(T31-((T31/$Y31)*$BY31))*(1+$DH$2)),AND($W$2=$DA$2,OR($A32&gt;$DA$3,$A32&gt;$DA$6)),(T31*(1+$DH$1)),AND($W$2=$DB$2,OR($B32&gt;$DB$3,$B32&gt;$DB$6)),(T31*(1+$DH$1)),AND($W$2=$DA$2,$A32&lt;=$DA$3,$A32&lt;=$DA$4,$A32&lt;=$DA$5),(T31*(1+$DH$1))+(T$4),AND($W$2=$DB$2,$B32&lt;=$DB$3,$B32&lt;=$DB$4,$B32&lt;=$DB$5),(T31*(1+$DH$1))+(T$4))</f>
        <v>0</v>
      </c>
      <c r="U32" s="326" cm="1">
        <f t="array" ref="U32">_xlfn.IFS(AND($A32&gt;$DA$6,$B32&gt;$DB$6),0,AND($W$2=$DA$2,$A32&gt;$DA$4),IF($Y31=0,0,(U31-((U31/$Y31)*$BY31))*(1+$DH$2)),AND($W$2=$DB$2,$B32&gt;$DB$4),IF($Y31=0,0,(U31-((U31/$Y31)*$BY31))*(1+$DH$2)),AND($W$2=$DA$2,OR($A32&gt;$DA$3,$A32&gt;$DA$6)),(U31*(1+$DH$1)),AND($W$2=$DB$2,OR($B32&gt;$DB$3,$B32&gt;$DB$6)),(U31*(1+$DH$1)),AND($W$2=$DA$2,$A32&lt;=$DA$3,$A32&lt;=$DA$4,$A32&lt;=$DA$5),(U31*(1+$DH$1))+(U$4),AND($W$2=$DB$2,$B32&lt;=$DB$3,$B32&lt;=$DB$4,$B32&lt;=$DB$5),(U31*(1+$DH$1))+(U$4))</f>
        <v>0</v>
      </c>
      <c r="V32" s="326" cm="1">
        <f t="array" ref="V32">_xlfn.IFS(AND($A32&gt;$DA$6,$B32&gt;$DB$6),0,AND($W$2=$DA$2,$A32&gt;$DA$4),IF($Y31=0,0,(V31-((V31/$Y31)*$BY31))*(1+$DH$2)),AND($W$2=$DB$2,$B32&gt;$DB$4),IF($Y31=0,0,(V31-((V31/$Y31)*$BY31))*(1+$DH$2)),AND($W$2=$DA$2,OR($A32&gt;$DA$3,$A32&gt;$DA$6)),(V31*(1+$DH$1)),AND($W$2=$DB$2,OR($B32&gt;$DB$3,$B32&gt;$DB$6)),(V31*(1+$DH$1)),AND($W$2=$DA$2,$A32&lt;=$DA$3,$A32&lt;=$DA$4,$A32&lt;=$DA$5),(V31*(1+$DH$1))+(V$4),AND($W$2=$DB$2,$B32&lt;=$DB$3,$B32&lt;=$DB$4,$B32&lt;=$DB$5),(V31*(1+$DH$1))+(V$4))</f>
        <v>0</v>
      </c>
      <c r="W32" s="326" cm="1">
        <f t="array" ref="W32">_xlfn.IFS(AND($A32&gt;$DA$6,$B32&gt;$DB$6),0,AND($W$2=$DA$2,$A32&gt;$DA$4),IF($Y31=0,0,(W31-((W31/$Y31)*$BY31))*(1+$DH$2)),AND($W$2=$DB$2,$B32&gt;$DB$4),IF($Y31=0,0,(W31-((W31/$Y31)*$BY31))*(1+$DH$2)),AND($W$2=$DA$2,OR($A32&gt;$DA$3,$A32&gt;$DA$6)),(W31*(1+$DH$1)),AND($W$2=$DB$2,OR($B32&gt;$DB$3,$B32&gt;$DB$6)),(W31*(1+$DH$1)),AND($W$2=$DA$2,$A32&lt;=$DA$3,$A32&lt;=$DA$4,$A32&lt;=$DA$5),(W31*(1+$DH$1))+(W$4),AND($W$2=$DB$2,$B32&lt;=$DB$3,$B32&lt;=$DB$4,$B32&lt;=$DB$5),(W31*(1+$DH$1))+(W$4))</f>
        <v>0</v>
      </c>
      <c r="Y32" s="1">
        <f t="shared" si="18"/>
        <v>0</v>
      </c>
      <c r="Z32" s="2">
        <f t="shared" si="19"/>
        <v>0</v>
      </c>
      <c r="AA32" s="375"/>
      <c r="AC32" s="326" cm="1">
        <f t="array" ref="AC32">_xlfn.IFS(AND(A32&gt;DA$6,B32&gt;DB$6),0,AND(A32&gt;DA$4,B32&gt;DB$4),IF(AG31=0,0,(AC31-((AC31/AG31)*CA31))*(1+DH$2)),OR(A32&gt;DA$3,A32&gt;DA$6),AC31*(1+DH$1),A32&gt;DA$4,(AC31-CA31)*(1+DH$2),AND(A32&lt;=DA$3,A32&lt;=DA$4,A32&lt;=DA$6),(AC31*(1+DH$1))+(AC$4))</f>
        <v>0</v>
      </c>
      <c r="AD32" s="375"/>
      <c r="AE32" s="326" cm="1">
        <f t="array" ref="AE32">_xlfn.IFS(AND(A32&gt;DA$6,B32&gt;DB$6),0,AND(A32&gt;DA$4,B32&gt;DB$4),IF(AG31=0,0,(AE31-((AE31/AG31)*CA31))*(1+DH$2)),OR(B32&gt;DB$3,B32&gt;DB$6),AE31*(1+DH$1),B32&gt;DB$4,(AE31-CA31)*(1+DH$2),AND(B32&lt;=DB$3,B32&lt;=DB$4,B32&lt;=DB$6),(AE31*(1+DH$1))+(AE$4))</f>
        <v>0</v>
      </c>
      <c r="AF32" s="375"/>
      <c r="AG32" s="1">
        <f t="shared" si="5"/>
        <v>0</v>
      </c>
      <c r="AH32" s="2">
        <f t="shared" si="20"/>
        <v>0</v>
      </c>
      <c r="AI32" s="14">
        <f t="shared" si="6"/>
        <v>0</v>
      </c>
      <c r="AK32" s="1">
        <f t="shared" si="21"/>
        <v>0</v>
      </c>
      <c r="AL32" s="14">
        <f t="shared" si="22"/>
        <v>0</v>
      </c>
      <c r="AM32" s="14" t="str">
        <f t="shared" si="23"/>
        <v/>
      </c>
      <c r="AO32" s="15">
        <f t="shared" si="7"/>
        <v>0</v>
      </c>
      <c r="AP32" s="1">
        <f>IF(AND(B32&gt;=$DB$6,A32&gt;=$DA$6),0,AP31*(1+Lookups!C$12))</f>
        <v>0</v>
      </c>
      <c r="AQ32" s="1">
        <f>IF(AND(B32&gt;=$DB$6,A32&gt;=$DA$6),0,AQ31*(1+Lookups!C$12))</f>
        <v>0</v>
      </c>
      <c r="AS32" s="1" cm="1">
        <f t="array" ref="AS32">_xlfn.IFS(OR(AS$6="",AND(A32&gt;=DA$6,B32&gt;=DB$6),AND(A32&lt;DA$4,B32&lt;DB$4)),0,AND(A32=DA$4,DA$4&lt;=DB$4),AS$6,AND(B32=DB$4,DA$4&gt;=DB$4),AS$6,OR(A32&gt;DA$4,B32&gt;DB$4),AS31*(1+Setup!C$103))</f>
        <v>0</v>
      </c>
      <c r="AT32" s="1" cm="1">
        <f t="array" ref="AT32">_xlfn.IFS(OR(AT$6="",AND(A32&gt;=DA$6,B32&gt;=DB$6),AND(A32&lt;DA$4,B32&lt;DB$4)),0,AND(A32=DA$4,DA$4&lt;=DB$4),AT$6,AND(B32=DB$4,DA$4&gt;=DB$4),AT$6,OR(A32&gt;DA$4,B32&gt;DB$4),AT31*(1+Setup!C$103))</f>
        <v>0</v>
      </c>
      <c r="AU32" s="1" cm="1">
        <f t="array" ref="AU32">_xlfn.IFS(OR(AU$6="",AND(A32&gt;=DA$6,B32&gt;=DB$6),AND(A32&lt;DA$4,B32&lt;DB$4)),0,AND(A32=DA$4,DA$4&lt;=DB$4),AU$6,AND(B32=DB$4,DA$4&gt;=DB$4),AU$6,OR(A32&gt;DA$4,B32&gt;DB$4),AU31*(1+Setup!C$103))</f>
        <v>0</v>
      </c>
      <c r="AV32" s="1" cm="1">
        <f t="array" ref="AV32">_xlfn.IFS(OR(AV$6="",AND(A32&gt;=DA$6,B32&gt;=DB$6),AND(A32&lt;DA$4,B32&lt;DB$4)),0,AND(A32=DA$4,DA$4&lt;=DB$4),AV$6,AND(B32=DB$4,DA$4&gt;=DB$4),AV$6,OR(A32&gt;DA$4,B32&gt;DB$4),AV31*(1+Setup!C$103))</f>
        <v>0</v>
      </c>
      <c r="AW32" s="1">
        <f t="shared" si="8"/>
        <v>0</v>
      </c>
      <c r="AY32" s="1" cm="1">
        <f t="array" ref="AY32">_xlfn.IFS(OR(AND(A32&gt;=DA$6,B32&gt;=DB$6),A32&lt;DA$5),0,AND(A32=DA$5,YEAR(C32)&gt;=Lookups!D$89),VLOOKUP(A32,Lookups!B$94:F$102,3),AND(A32=DA$5,YEAR(C32)&lt;Lookups!D$89),VLOOKUP(A32,Lookups!B$94:F$102,2),AND(A32&gt;DA$5,YEAR(C32)=Lookups!D$89),(AY31*Lookups!D$90)*(1+Lookups!C$20),AND(A32&gt;DA$5,YEAR(C32)&lt;&gt;Lookups!D$89),AY31*(1+Lookups!C$20))</f>
        <v>0</v>
      </c>
      <c r="AZ32" s="1" cm="1">
        <f t="array" ref="AZ32">_xlfn.IFS(OR(ISBLANK(Setup!K$91),Setup!K$91=0,AND(A32&gt;=DA$6,B32&gt;=DB$6),B32&lt;DB$5),0,AND(B32=DB$5,YEAR(C32)&gt;=Lookups!D$89),VLOOKUP(B32,Lookups!B$94:F$102,5),AND(B32=DB$5,YEAR(C32)&lt;Lookups!D$89),VLOOKUP(B32,Lookups!B$94:F$102,4),AND(B32&gt;DB$5,YEAR(C32)=Lookups!D$89),(AZ31*Lookups!D$90)*(1+Lookups!C$20),AND(B32&gt;DB$5,YEAR(C32)&lt;&gt;Lookups!D$89),AZ31*(1+Lookups!C$20))</f>
        <v>0</v>
      </c>
      <c r="BA32" s="65">
        <f>IF(OR(AY32&gt;0,AZ32&gt;0),(AY32+AZ32)*Lookups!D$120,0)</f>
        <v>0</v>
      </c>
      <c r="BB32" s="1" cm="1">
        <f t="array" ref="BB32">_xlfn.IFS(AND(A32&lt;DA$4,B32&lt;DB$4),0,OR(_xlfn.XOR(A32&gt;DA$6,B32&gt;DB$6),_xlfn.XOR(A32&gt;=DA$4,B32&gt;=DB$4)),IF(AP32-SUM(AW32,AY32:AZ32)&gt;0,AP32-SUM(AW32,AY32:AZ32),0),AQ32-SUM(AW32,AY32:AZ32)&gt;0, AQ32-SUM(AW32,AY32:AZ32),AQ32-SUM(AW32,AY32:AZ32)&lt;=0,0)</f>
        <v>0</v>
      </c>
      <c r="BD32" s="1" cm="1">
        <f t="array" ref="BD32">_xlfn.IFS(AND(A32&gt;=DA$6,B32&gt;=DB$6),0,AND(A32&gt;=DA$6,B32&gt;=Lookups!C$35),D32/VLOOKUP(B32,Lookups!C$37:D$67,2),A32&lt;Lookups!$C$35,0,A32&gt;=Lookups!C$35,D32/VLOOKUP(A32,Lookups!C$37:D$67,2))</f>
        <v>0</v>
      </c>
      <c r="BE32" s="1" cm="1">
        <f t="array" ref="BE32">_xlfn.IFS(AND(A32&gt;=DA$6,B32&gt;=DB$6),0,AND(B32&gt;=DB$6,A32&gt;=Lookups!C$35),F32/VLOOKUP(A32,Lookups!C$37:D$67,2),B32&lt;Lookups!$C$35,0,B32&gt;=Lookups!C$35,F32/VLOOKUP(B32,Lookups!C$37:D$67,2))</f>
        <v>0</v>
      </c>
      <c r="BF32" s="1" cm="1">
        <f t="array" ref="BF32">_xlfn.IFS($BB32&lt;=0,0,AND(A32&gt;=DA$4,B32&gt;=DB$4,$BB32*I32&lt;(BD32+BE32)),0,AND(A32&gt;=DA$4,B32&gt;=DB$4,H32&gt;=(BB32*I32)-BD32-BE32),(BB32*I32)-BD32-BE32,AND(A32&gt;=DA$4,B32&gt;=DB$4,H32&lt;(BB32*I32)-BD32-BE32),H32,AND(A32&gt;=DA$4,$BB32*I32&lt;(BD32)),0,AND(A32&gt;=DA$4,H32&gt;=(BB32*I32)-BD32),(BB32*I32)-BD32,AND(A32&gt;=DA$4,H32&lt;(BB32*I32)-BD32),H32,AND(B32&gt;=DB$4,$BB32*I32&lt;(BE32)),0,AND(B32&gt;=DB$4,H32&gt;=(BB32*I32)-BE32),(BB32*I32)-BE32,AND(B32&gt;=DB$4,H32&lt;(BB32*I32)-BE32),H32)</f>
        <v>0</v>
      </c>
      <c r="BG32" s="1">
        <f t="shared" si="9"/>
        <v>0</v>
      </c>
      <c r="BH32" s="1" cm="1">
        <f t="array" ref="BH32">_xlfn.IFS(OR(D32=0,A32&lt;DA$4),0,AND(A32&gt;=DA$4,B32&gt;=DB$4,D32&lt;BD32+($BF32*(D32/$H32))+(-$BP32*(D32/$H32))),D32,AND(A32&gt;=DA$4,B32&gt;=DB$4,$BB32&gt;$BG32),BD32+($BF32*(D32/$H32))+(-$BP32*(D32/$H32)),AND(A32&gt;=DA$4,B32&gt;=DB$4,OR(A32&gt;DA$6, B32&gt;DB$6),$AP32-SUM($AW32,$AY32:$AZ32)&lt;0),BD32+($BF32*(D32/$H32))+(-$BP32*(D32/$H32))+(BP32*(D32/$H32)),AND(A32&gt;=DA$4,B32&gt;=DB$4,$AQ32-SUM($AW32,$AY32:$AZ32)&lt;0),BD32+($BF32*(D32/$H32))+(-$BP32*(D32/$H32))+(BP32*(D32/$H32)),AND(A32&gt;=DA$4,D32&lt;BD32+$BF32-$BP32),D32,AND(A32&gt;=DA$4,$AP32-SUM($AW32,$AY32:$AZ32)&lt;0),BD32+($BF32*(D32/$H32))+(-$BP32*(D32/$H32))+(BP32*(D32/$H32)),A32&gt;=DA$4,BD32+$BF32-$BP32)</f>
        <v>0</v>
      </c>
      <c r="BI32" s="1" cm="1">
        <f t="array" ref="BI32">_xlfn.IFS(OR(F32=0,B32&lt;DB$4),0,AND(A32&gt;=DA$4,B32&gt;=DB$4,F32&lt;BE32+($BF32*(F32/$H32))+(-$BP32*(F32/$H32))),F32,AND(A32&gt;=DA$4,B32&gt;=DB$4,$BB32&gt;$BG32),BE32+($BF32*(F32/$H32))+(-$BP32*(F32/$H32)),AND(A32&gt;=DA$4,B32&gt;=DB$4,OR(A32&gt;DA$6, B32&gt;DB$6),$AP32-SUM($AW32,$AY32:$AZ32)&lt;0),BE32+($BF32*(F32/$H32))+(-$BP32*(F32/$H32))+(BP32*(F32/$H32)),AND(A32&gt;=DA$4,B32&gt;=DB$4,$AQ32-SUM($AW32,$AY32:$AZ32)&lt;0),BE32+($BF32*(F32/$H32))+(-$BP32*(F32/$H32))+(BP32*(F32/$H32)),AND(B32&gt;=DB$4,F32&lt;BE32+$BF32-$BP32),F32,AND(B32&gt;=DB$4,$AP32-SUM($AW32,$AY32:$AZ32)&lt;0),BE32+($BF32*(F32/$H32))+(-$BP32*(F32/$H32))+(BP32*(F32/$H32)),B32&gt;=DB$4,BE32+$BF32-$BP32)</f>
        <v>0</v>
      </c>
      <c r="BJ32" s="64" cm="1">
        <f t="array" ref="BJ32">IF(AW32+BA32+BG32&gt;0, AW32+BA32+BG32-_xlfn.IFS(AND(A32&gt;=65,B32&gt;=65),VLOOKUP(Setup!I$4,Lookups!C$133:F$136,4),OR(A32&gt;=65,B32&gt;=65),VLOOKUP(Setup!I$4,Lookups!C$133:E$136,3),AND(A32&lt;65,B32&lt;65),VLOOKUP(Setup!I$4,Lookups!C$133:D$136,2)),0)</f>
        <v>0</v>
      </c>
      <c r="BK32" s="1" cm="1">
        <f t="array" ref="BK32">IF(BJ32&gt;0,_xlfn.IFS(Setup!I$4=Lookups!D$109,-_xlfn.IFS($BJ32&gt;=Lookups!D$157, Lookups!F$157+($BJ32-Lookups!D$157)*Lookups!G$157,$BJ32&gt;=Lookups!D$156, Lookups!F$156+($BJ32-Lookups!D$156)*Lookups!G$156,$BJ32&gt;=Lookups!D$155, Lookups!F$155+($BJ32-Lookups!D$155)*Lookups!G$155,$BJ32&gt;=Lookups!D$154, Lookups!F$154+($BJ32-Lookups!D$154)*Lookups!G$154,$BJ32&gt;=Lookups!D$153, Lookups!F$153+($BJ32-Lookups!D$153)*Lookups!G$153,$BJ32&gt;=Lookups!D$152, Lookups!F$152+($BJ32-Lookups!D$152)*Lookups!G$152,$BJ32&lt;Lookups!D$152,$BJ32*Lookups!G$151),Setup!I$4=Lookups!D$110,-_xlfn.IFS($BJ32&gt;=Lookups!D$167, Lookups!F$167+($BJ32-Lookups!D$167)*Lookups!G$167,$BJ32&gt;=Lookups!D$166, Lookups!F$166+($BJ32-Lookups!D$166)*Lookups!G$166,$BJ32&gt;=Lookups!D$165, Lookups!F$165+($BJ32-Lookups!D$165)*Lookups!G$165,$BJ32&gt;=Lookups!D$164, Lookups!F$164+($BJ32-Lookups!D$164)*Lookups!G$164,$BJ32&gt;=Lookups!D$163, Lookups!F$163+($BJ32-Lookups!D$163)*Lookups!G$163,$BJ32&gt;=Lookups!D$162, Lookups!F$162+($BJ32-Lookups!D$162)*Lookups!G$162,$BJ32&lt;Lookups!D$162,$BJ32*Lookups!G$161),Setup!I$4=Lookups!D$111,-_xlfn.IFS($BJ32&gt;=Lookups!D$177, Lookups!F$177+($BJ32-Lookups!D$177)*Lookups!G$177,$BJ32&gt;=Lookups!D$176, Lookups!F$176+($BJ32-Lookups!D$176)*Lookups!G$176,$BJ32&gt;=Lookups!D$175, Lookups!F$175+($BJ32-Lookups!D$175)*Lookups!G$175,$BJ32&gt;=Lookups!D$174, Lookups!F$174+($BJ32-Lookups!D$174)*Lookups!G$174,$BJ32&gt;=Lookups!D$173, Lookups!F$173+($BJ32-Lookups!D$173)*Lookups!G$173,$BJ32&gt;=Lookups!D$172, Lookups!F$172+($BJ32-Lookups!D$172)*Lookups!G$172,$BJ32&lt;Lookups!D$172,$BJ32*Lookups!G$171), Setup!I$4=Lookups!D$112,-_xlfn.IFS($BJ32&gt;=Lookups!D$187, Lookups!F$187+($BJ32-Lookups!D$187)*Lookups!G$187,$BJ32&gt;=Lookups!D$186, Lookups!F$186+($BJ32-Lookups!D$186)*Lookups!G$186,$BJ32&gt;=Lookups!D$185, Lookups!F$185+($BJ32-Lookups!D$185)*Lookups!G$185,$BJ32&gt;=Lookups!D$184, Lookups!F$184+($BJ32-Lookups!D$184)*Lookups!G$184,$BJ32&gt;=Lookups!D$183, Lookups!F$183+($BJ32-Lookups!D$183)*Lookups!G$183,$BJ32&gt;=Lookups!D$182, Lookups!F$182+($BJ32-Lookups!D$182)*Lookups!G$182,$BJ32&lt;Lookups!D$182,$BJ32*Lookups!G$181)),0)</f>
        <v>0</v>
      </c>
      <c r="BL32" s="18">
        <f t="shared" si="10"/>
        <v>0</v>
      </c>
      <c r="BM32" s="134">
        <f t="shared" si="24"/>
        <v>0</v>
      </c>
      <c r="BN32" s="134" cm="1">
        <f t="array" aca="1" ref="BN32" ca="1">INDIRECT(Setup!I$6&amp;"!"&amp;"A"&amp;ROW())</f>
        <v>0</v>
      </c>
      <c r="BO32" s="134">
        <f t="shared" si="25"/>
        <v>0</v>
      </c>
      <c r="BP32" s="1">
        <f t="shared" si="11"/>
        <v>0</v>
      </c>
      <c r="BQ32" s="1">
        <f t="shared" si="26"/>
        <v>0</v>
      </c>
      <c r="BS32" s="1">
        <f t="shared" si="27"/>
        <v>0</v>
      </c>
      <c r="BT32" s="1" cm="1">
        <f t="array" ref="BT32">-IF(BS32&gt;0,_xlfn.IFS((AW32+BA32+BG32+BS32)&gt;=VLOOKUP(Setup!I$4,Lookups!C$210:E$213,3),BS32*Lookups!D$203,(AW32+BA32+BG32+BS32)&gt;=VLOOKUP(Setup!I$4,Lookups!C$210:E$213,2),BS32*Lookups!D$197,(AW32+BA32+BG32+BS32)&lt;VLOOKUP(Setup!I$4,Lookups!C$210:E$213,2),0),0)</f>
        <v>0</v>
      </c>
      <c r="BU32" s="18">
        <f t="shared" si="28"/>
        <v>0</v>
      </c>
      <c r="BV32" s="1">
        <f t="shared" si="29"/>
        <v>0</v>
      </c>
      <c r="BW32" s="1" cm="1">
        <f t="array" aca="1" ref="BW32" ca="1">INDIRECT(Setup!I$6&amp;"!"&amp;"A"&amp;ROW()+100)</f>
        <v>0</v>
      </c>
      <c r="BX32" s="1">
        <f t="shared" ca="1" si="15"/>
        <v>0</v>
      </c>
      <c r="BY32" s="1">
        <f t="shared" ca="1" si="16"/>
        <v>0</v>
      </c>
      <c r="CA32" s="1">
        <f t="shared" si="34"/>
        <v>0</v>
      </c>
      <c r="CC32" s="1" cm="1">
        <f t="array" ref="CC32">_xlfn.IFS(AND(A32&lt;$DA$4,B32&lt;$DB$4),0,AND(AND(A32&gt;=$DA$4,B32&gt;=$DB$4),AND(A32&lt;=$DA$6,B32&lt;=$DB$6),AND(BH32=0,BI32=0)),SUM(AW32,AY32:AZ32,BD32:BF32,BP32,BS32,CA32)-AQ32,AND(AND(A32&gt;=$DA$4,B32&gt;=$DB$4),AND(A32&lt;=$DA$6,B32&lt;=$DB$6)),SUM(AW32,AY32:AZ32,BD32:BF32,BS32,CA32)-AQ32,AND(OR(A32&gt;=$DA$4,B32&gt;=$DB$4),AND(BH32=0,BI32=0)),SUM(AW32,AY32:AZ32,BD32:BF32,BP32,BS32,CA32)-AP32,OR(A32&gt;=$DA$4,B32&gt;=$DB$4),SUM(AW32,AY32:AZ32,BD32:BF32,BS32,CA32)-AP32)</f>
        <v>0</v>
      </c>
      <c r="CD32" s="142" t="str">
        <f t="shared" si="30"/>
        <v/>
      </c>
    </row>
    <row r="33" spans="1:82" x14ac:dyDescent="0.3">
      <c r="A33" s="354">
        <f t="shared" si="31"/>
        <v>26</v>
      </c>
      <c r="B33" s="354">
        <f t="shared" si="32"/>
        <v>26</v>
      </c>
      <c r="C33" s="359">
        <f t="shared" si="33"/>
        <v>9498</v>
      </c>
      <c r="D33" s="326" cm="1">
        <f t="array" ref="D33">_xlfn.IFS(AND(A33&gt;DA$6,B33&gt;DB$6),0,AND(A33&gt;DA$3,A33&lt;=DA$4),D32*(1+DH$1),OR(A33&gt;DA$6,A33&gt;DA$4),(D32-BH32)*(1+DH$2),A33&lt;=DA$4,(D32*(1+DH$1))+(D$4))</f>
        <v>0</v>
      </c>
      <c r="E33" s="375"/>
      <c r="F33" s="326" cm="1">
        <f t="array" ref="F33">_xlfn.IFS(AND(A33&gt;DA$6,B33&gt;DB$6),0,AND(B33&gt;DB$3,B33&lt;=DB$4),F32*(1+DH$1),OR(B33&gt;DB$6,B33&gt;DB$4),(F32-BI32)*(1+DH$2),B33&lt;=DB$4,(F32*(1+DH$1))+(F$4))</f>
        <v>0</v>
      </c>
      <c r="G33" s="375"/>
      <c r="H33" s="1">
        <f t="shared" si="17"/>
        <v>0</v>
      </c>
      <c r="I33" s="2">
        <f t="shared" si="2"/>
        <v>0</v>
      </c>
      <c r="J33" s="14">
        <f t="shared" si="35"/>
        <v>0</v>
      </c>
      <c r="L33" s="402" cm="1">
        <f t="array" ref="L33">_xlfn.IFS(AND(A33&gt;DA$6,B33&gt;DB$6),0,A33&lt;DA$6,0,A33=DA$6,L$4,AND(A33&gt;DA$6,B33&lt;=DB$4),L32*(1+DH$1),AND(A33&gt;DA$6,B33&gt;DB$4),IF(Y32=0,0,(L32-((L32/Y32)*BY32))*(1+DH$2)))</f>
        <v>0</v>
      </c>
      <c r="M33" s="402" cm="1">
        <f t="array" ref="M33">_xlfn.IFS(AND(A33&gt;DA$6,B33&gt;DB$6),0,B33&lt;DB$6,0,B33=DB$6,M$4,AND(B33&gt;DB$6,A33&lt;=DA$4),M32*(1+DH$1),AND(A33&gt;DA$4,B33&gt;DB$6),IF(Y32=0,0,(M32-((M32/Y32)*BY32))*(1+DH$2)))</f>
        <v>0</v>
      </c>
      <c r="N33" s="327"/>
      <c r="O33" s="327" cm="1">
        <f t="array" ref="O33">_xlfn.IFS(OR(ISBLANK(Setup!C$63),Setup!C$63&gt;YEAR(C33),AND(A33&gt;DA$6,B33&gt;DB$6),ISBLANK(Y32)),0,Setup!C$63=YEAR(C33),Setup!C$62,AND(OR(A33&lt;=DA$4,B33&lt;=DB$4),Setup!C$63&lt;YEAR(C33)),O32*(1+DH$1),AND(A33&gt;DA$4,B33&gt;DB$4,Setup!C$63&lt;YEAR(C33)),IF(Y32=0,0,(O32-((O32/Y32)*BY32))*(1+DH$2)))</f>
        <v>0</v>
      </c>
      <c r="P33" s="327" cm="1">
        <f t="array" ref="P33">_xlfn.IFS(OR(ISBLANK(Setup!C$67),Setup!C$67&gt;YEAR(C33),AND(A33&gt;DA$6,B33&gt;DB$6)),0,Setup!C$67=YEAR(C33),Setup!C$66,AND(OR(A33&lt;=DA$4,B33&lt;=DB$4),Setup!C$67&lt;YEAR(C33)),P32*(1+DH$1),AND(A33&gt;DA$4,B33&gt;DB$4,Setup!C$67&lt;YEAR(C33)),IF(Y32=0,0,(P32-((P32/Y32)*BY32))*(1+DH$2)))</f>
        <v>0</v>
      </c>
      <c r="Q33" s="327" cm="1">
        <f t="array" ref="Q33">_xlfn.IFS(OR(ISBLANK(Setup!C$71),Setup!C$71&gt;YEAR(C33),AND(A33&gt;DA$6,B33&gt;DB$6)),0,Setup!C$71=YEAR(C33),Setup!C$70,AND(OR(A33&lt;=DA$4,B33&lt;=DB$4),Setup!C$71&lt;YEAR(C33)),Q32*(1+DH$1),AND(A33&gt;DA$4,B33&gt;DB$4,Setup!C$71&lt;YEAR(C33)),IF(Y32=0,0,(Q32-((Q32/Y32)*BY32))*(1+DH$2)))</f>
        <v>0</v>
      </c>
      <c r="R33" s="327" cm="1">
        <f t="array" ref="R33">_xlfn.IFS(OR(ISBLANK(Setup!C$75),Setup!C$75&gt;YEAR(C33),AND(A33&gt;DA$6,B33&gt;DB$6)),0,Setup!C$75=YEAR(C33),Setup!C$74,AND(OR(A33&lt;=DA$4,B33&lt;=DB$4),Setup!C$75&lt;YEAR(C33)),R32*(1+DH$1),AND(A33&gt;DA$4,B33&gt;DB$4,Setup!C$75&lt;YEAR(C33)),IF(Y32=0,0,(R32-((R32/Y32)*BY32))*(1+DH$2)))</f>
        <v>0</v>
      </c>
      <c r="S33" s="327"/>
      <c r="T33" s="326" cm="1">
        <f t="array" ref="T33">_xlfn.IFS(AND($A33&gt;$DA$6,$B33&gt;$DB$6),0,AND($W$2=$DA$2,$A33&gt;$DA$4),IF($Y32=0,0,(T32-((T32/$Y32)*$BY32))*(1+$DH$2)),AND($W$2=$DB$2,$B33&gt;$DB$4),IF($Y32=0,0,(T32-((T32/$Y32)*$BY32))*(1+$DH$2)),AND($W$2=$DA$2,OR($A33&gt;$DA$3,$A33&gt;$DA$6)),(T32*(1+$DH$1)),AND($W$2=$DB$2,OR($B33&gt;$DB$3,$B33&gt;$DB$6)),(T32*(1+$DH$1)),AND($W$2=$DA$2,$A33&lt;=$DA$3,$A33&lt;=$DA$4,$A33&lt;=$DA$5),(T32*(1+$DH$1))+(T$4),AND($W$2=$DB$2,$B33&lt;=$DB$3,$B33&lt;=$DB$4,$B33&lt;=$DB$5),(T32*(1+$DH$1))+(T$4))</f>
        <v>0</v>
      </c>
      <c r="U33" s="326" cm="1">
        <f t="array" ref="U33">_xlfn.IFS(AND($A33&gt;$DA$6,$B33&gt;$DB$6),0,AND($W$2=$DA$2,$A33&gt;$DA$4),IF($Y32=0,0,(U32-((U32/$Y32)*$BY32))*(1+$DH$2)),AND($W$2=$DB$2,$B33&gt;$DB$4),IF($Y32=0,0,(U32-((U32/$Y32)*$BY32))*(1+$DH$2)),AND($W$2=$DA$2,OR($A33&gt;$DA$3,$A33&gt;$DA$6)),(U32*(1+$DH$1)),AND($W$2=$DB$2,OR($B33&gt;$DB$3,$B33&gt;$DB$6)),(U32*(1+$DH$1)),AND($W$2=$DA$2,$A33&lt;=$DA$3,$A33&lt;=$DA$4,$A33&lt;=$DA$5),(U32*(1+$DH$1))+(U$4),AND($W$2=$DB$2,$B33&lt;=$DB$3,$B33&lt;=$DB$4,$B33&lt;=$DB$5),(U32*(1+$DH$1))+(U$4))</f>
        <v>0</v>
      </c>
      <c r="V33" s="326" cm="1">
        <f t="array" ref="V33">_xlfn.IFS(AND($A33&gt;$DA$6,$B33&gt;$DB$6),0,AND($W$2=$DA$2,$A33&gt;$DA$4),IF($Y32=0,0,(V32-((V32/$Y32)*$BY32))*(1+$DH$2)),AND($W$2=$DB$2,$B33&gt;$DB$4),IF($Y32=0,0,(V32-((V32/$Y32)*$BY32))*(1+$DH$2)),AND($W$2=$DA$2,OR($A33&gt;$DA$3,$A33&gt;$DA$6)),(V32*(1+$DH$1)),AND($W$2=$DB$2,OR($B33&gt;$DB$3,$B33&gt;$DB$6)),(V32*(1+$DH$1)),AND($W$2=$DA$2,$A33&lt;=$DA$3,$A33&lt;=$DA$4,$A33&lt;=$DA$5),(V32*(1+$DH$1))+(V$4),AND($W$2=$DB$2,$B33&lt;=$DB$3,$B33&lt;=$DB$4,$B33&lt;=$DB$5),(V32*(1+$DH$1))+(V$4))</f>
        <v>0</v>
      </c>
      <c r="W33" s="326" cm="1">
        <f t="array" ref="W33">_xlfn.IFS(AND($A33&gt;$DA$6,$B33&gt;$DB$6),0,AND($W$2=$DA$2,$A33&gt;$DA$4),IF($Y32=0,0,(W32-((W32/$Y32)*$BY32))*(1+$DH$2)),AND($W$2=$DB$2,$B33&gt;$DB$4),IF($Y32=0,0,(W32-((W32/$Y32)*$BY32))*(1+$DH$2)),AND($W$2=$DA$2,OR($A33&gt;$DA$3,$A33&gt;$DA$6)),(W32*(1+$DH$1)),AND($W$2=$DB$2,OR($B33&gt;$DB$3,$B33&gt;$DB$6)),(W32*(1+$DH$1)),AND($W$2=$DA$2,$A33&lt;=$DA$3,$A33&lt;=$DA$4,$A33&lt;=$DA$5),(W32*(1+$DH$1))+(W$4),AND($W$2=$DB$2,$B33&lt;=$DB$3,$B33&lt;=$DB$4,$B33&lt;=$DB$5),(W32*(1+$DH$1))+(W$4))</f>
        <v>0</v>
      </c>
      <c r="Y33" s="1">
        <f t="shared" si="18"/>
        <v>0</v>
      </c>
      <c r="Z33" s="2">
        <f t="shared" si="19"/>
        <v>0</v>
      </c>
      <c r="AA33" s="375"/>
      <c r="AC33" s="326" cm="1">
        <f t="array" ref="AC33">_xlfn.IFS(AND(A33&gt;DA$6,B33&gt;DB$6),0,AND(A33&gt;DA$4,B33&gt;DB$4),IF(AG32=0,0,(AC32-((AC32/AG32)*CA32))*(1+DH$2)),OR(A33&gt;DA$3,A33&gt;DA$6),AC32*(1+DH$1),A33&gt;DA$4,(AC32-CA32)*(1+DH$2),AND(A33&lt;=DA$3,A33&lt;=DA$4,A33&lt;=DA$6),(AC32*(1+DH$1))+(AC$4))</f>
        <v>0</v>
      </c>
      <c r="AD33" s="375"/>
      <c r="AE33" s="326" cm="1">
        <f t="array" ref="AE33">_xlfn.IFS(AND(A33&gt;DA$6,B33&gt;DB$6),0,AND(A33&gt;DA$4,B33&gt;DB$4),IF(AG32=0,0,(AE32-((AE32/AG32)*CA32))*(1+DH$2)),OR(B33&gt;DB$3,B33&gt;DB$6),AE32*(1+DH$1),B33&gt;DB$4,(AE32-CA32)*(1+DH$2),AND(B33&lt;=DB$3,B33&lt;=DB$4,B33&lt;=DB$6),(AE32*(1+DH$1))+(AE$4))</f>
        <v>0</v>
      </c>
      <c r="AF33" s="375"/>
      <c r="AG33" s="1">
        <f t="shared" si="5"/>
        <v>0</v>
      </c>
      <c r="AH33" s="2">
        <f t="shared" si="20"/>
        <v>0</v>
      </c>
      <c r="AI33" s="14">
        <f t="shared" si="6"/>
        <v>0</v>
      </c>
      <c r="AK33" s="1">
        <f t="shared" si="21"/>
        <v>0</v>
      </c>
      <c r="AL33" s="14">
        <f t="shared" si="22"/>
        <v>0</v>
      </c>
      <c r="AM33" s="14" t="str">
        <f t="shared" si="23"/>
        <v/>
      </c>
      <c r="AO33" s="15">
        <f t="shared" si="7"/>
        <v>0</v>
      </c>
      <c r="AP33" s="1">
        <f>IF(AND(B33&gt;=$DB$6,A33&gt;=$DA$6),0,AP32*(1+Lookups!C$12))</f>
        <v>0</v>
      </c>
      <c r="AQ33" s="1">
        <f>IF(AND(B33&gt;=$DB$6,A33&gt;=$DA$6),0,AQ32*(1+Lookups!C$12))</f>
        <v>0</v>
      </c>
      <c r="AS33" s="1" cm="1">
        <f t="array" ref="AS33">_xlfn.IFS(OR(AS$6="",AND(A33&gt;=DA$6,B33&gt;=DB$6),AND(A33&lt;DA$4,B33&lt;DB$4)),0,AND(A33=DA$4,DA$4&lt;=DB$4),AS$6,AND(B33=DB$4,DA$4&gt;=DB$4),AS$6,OR(A33&gt;DA$4,B33&gt;DB$4),AS32*(1+Setup!C$103))</f>
        <v>0</v>
      </c>
      <c r="AT33" s="1" cm="1">
        <f t="array" ref="AT33">_xlfn.IFS(OR(AT$6="",AND(A33&gt;=DA$6,B33&gt;=DB$6),AND(A33&lt;DA$4,B33&lt;DB$4)),0,AND(A33=DA$4,DA$4&lt;=DB$4),AT$6,AND(B33=DB$4,DA$4&gt;=DB$4),AT$6,OR(A33&gt;DA$4,B33&gt;DB$4),AT32*(1+Setup!C$103))</f>
        <v>0</v>
      </c>
      <c r="AU33" s="1" cm="1">
        <f t="array" ref="AU33">_xlfn.IFS(OR(AU$6="",AND(A33&gt;=DA$6,B33&gt;=DB$6),AND(A33&lt;DA$4,B33&lt;DB$4)),0,AND(A33=DA$4,DA$4&lt;=DB$4),AU$6,AND(B33=DB$4,DA$4&gt;=DB$4),AU$6,OR(A33&gt;DA$4,B33&gt;DB$4),AU32*(1+Setup!C$103))</f>
        <v>0</v>
      </c>
      <c r="AV33" s="1" cm="1">
        <f t="array" ref="AV33">_xlfn.IFS(OR(AV$6="",AND(A33&gt;=DA$6,B33&gt;=DB$6),AND(A33&lt;DA$4,B33&lt;DB$4)),0,AND(A33=DA$4,DA$4&lt;=DB$4),AV$6,AND(B33=DB$4,DA$4&gt;=DB$4),AV$6,OR(A33&gt;DA$4,B33&gt;DB$4),AV32*(1+Setup!C$103))</f>
        <v>0</v>
      </c>
      <c r="AW33" s="1">
        <f t="shared" si="8"/>
        <v>0</v>
      </c>
      <c r="AY33" s="1" cm="1">
        <f t="array" ref="AY33">_xlfn.IFS(OR(AND(A33&gt;=DA$6,B33&gt;=DB$6),A33&lt;DA$5),0,AND(A33=DA$5,YEAR(C33)&gt;=Lookups!D$89),VLOOKUP(A33,Lookups!B$94:F$102,3),AND(A33=DA$5,YEAR(C33)&lt;Lookups!D$89),VLOOKUP(A33,Lookups!B$94:F$102,2),AND(A33&gt;DA$5,YEAR(C33)=Lookups!D$89),(AY32*Lookups!D$90)*(1+Lookups!C$20),AND(A33&gt;DA$5,YEAR(C33)&lt;&gt;Lookups!D$89),AY32*(1+Lookups!C$20))</f>
        <v>0</v>
      </c>
      <c r="AZ33" s="1" cm="1">
        <f t="array" ref="AZ33">_xlfn.IFS(OR(ISBLANK(Setup!K$91),Setup!K$91=0,AND(A33&gt;=DA$6,B33&gt;=DB$6),B33&lt;DB$5),0,AND(B33=DB$5,YEAR(C33)&gt;=Lookups!D$89),VLOOKUP(B33,Lookups!B$94:F$102,5),AND(B33=DB$5,YEAR(C33)&lt;Lookups!D$89),VLOOKUP(B33,Lookups!B$94:F$102,4),AND(B33&gt;DB$5,YEAR(C33)=Lookups!D$89),(AZ32*Lookups!D$90)*(1+Lookups!C$20),AND(B33&gt;DB$5,YEAR(C33)&lt;&gt;Lookups!D$89),AZ32*(1+Lookups!C$20))</f>
        <v>0</v>
      </c>
      <c r="BA33" s="65">
        <f>IF(OR(AY33&gt;0,AZ33&gt;0),(AY33+AZ33)*Lookups!D$120,0)</f>
        <v>0</v>
      </c>
      <c r="BB33" s="1" cm="1">
        <f t="array" ref="BB33">_xlfn.IFS(AND(A33&lt;DA$4,B33&lt;DB$4),0,OR(_xlfn.XOR(A33&gt;DA$6,B33&gt;DB$6),_xlfn.XOR(A33&gt;=DA$4,B33&gt;=DB$4)),IF(AP33-SUM(AW33,AY33:AZ33)&gt;0,AP33-SUM(AW33,AY33:AZ33),0),AQ33-SUM(AW33,AY33:AZ33)&gt;0, AQ33-SUM(AW33,AY33:AZ33),AQ33-SUM(AW33,AY33:AZ33)&lt;=0,0)</f>
        <v>0</v>
      </c>
      <c r="BD33" s="1" cm="1">
        <f t="array" ref="BD33">_xlfn.IFS(AND(A33&gt;=DA$6,B33&gt;=DB$6),0,AND(A33&gt;=DA$6,B33&gt;=Lookups!C$35),D33/VLOOKUP(B33,Lookups!C$37:D$67,2),A33&lt;Lookups!$C$35,0,A33&gt;=Lookups!C$35,D33/VLOOKUP(A33,Lookups!C$37:D$67,2))</f>
        <v>0</v>
      </c>
      <c r="BE33" s="1" cm="1">
        <f t="array" ref="BE33">_xlfn.IFS(AND(A33&gt;=DA$6,B33&gt;=DB$6),0,AND(B33&gt;=DB$6,A33&gt;=Lookups!C$35),F33/VLOOKUP(A33,Lookups!C$37:D$67,2),B33&lt;Lookups!$C$35,0,B33&gt;=Lookups!C$35,F33/VLOOKUP(B33,Lookups!C$37:D$67,2))</f>
        <v>0</v>
      </c>
      <c r="BF33" s="1" cm="1">
        <f t="array" ref="BF33">_xlfn.IFS($BB33&lt;=0,0,AND(A33&gt;=DA$4,B33&gt;=DB$4,$BB33*I33&lt;(BD33+BE33)),0,AND(A33&gt;=DA$4,B33&gt;=DB$4,H33&gt;=(BB33*I33)-BD33-BE33),(BB33*I33)-BD33-BE33,AND(A33&gt;=DA$4,B33&gt;=DB$4,H33&lt;(BB33*I33)-BD33-BE33),H33,AND(A33&gt;=DA$4,$BB33*I33&lt;(BD33)),0,AND(A33&gt;=DA$4,H33&gt;=(BB33*I33)-BD33),(BB33*I33)-BD33,AND(A33&gt;=DA$4,H33&lt;(BB33*I33)-BD33),H33,AND(B33&gt;=DB$4,$BB33*I33&lt;(BE33)),0,AND(B33&gt;=DB$4,H33&gt;=(BB33*I33)-BE33),(BB33*I33)-BE33,AND(B33&gt;=DB$4,H33&lt;(BB33*I33)-BE33),H33)</f>
        <v>0</v>
      </c>
      <c r="BG33" s="1">
        <f t="shared" si="9"/>
        <v>0</v>
      </c>
      <c r="BH33" s="1" cm="1">
        <f t="array" ref="BH33">_xlfn.IFS(OR(D33=0,A33&lt;DA$4),0,AND(A33&gt;=DA$4,B33&gt;=DB$4,D33&lt;BD33+($BF33*(D33/$H33))+(-$BP33*(D33/$H33))),D33,AND(A33&gt;=DA$4,B33&gt;=DB$4,$BB33&gt;$BG33),BD33+($BF33*(D33/$H33))+(-$BP33*(D33/$H33)),AND(A33&gt;=DA$4,B33&gt;=DB$4,OR(A33&gt;DA$6, B33&gt;DB$6),$AP33-SUM($AW33,$AY33:$AZ33)&lt;0),BD33+($BF33*(D33/$H33))+(-$BP33*(D33/$H33))+(BP33*(D33/$H33)),AND(A33&gt;=DA$4,B33&gt;=DB$4,$AQ33-SUM($AW33,$AY33:$AZ33)&lt;0),BD33+($BF33*(D33/$H33))+(-$BP33*(D33/$H33))+(BP33*(D33/$H33)),AND(A33&gt;=DA$4,D33&lt;BD33+$BF33-$BP33),D33,AND(A33&gt;=DA$4,$AP33-SUM($AW33,$AY33:$AZ33)&lt;0),BD33+($BF33*(D33/$H33))+(-$BP33*(D33/$H33))+(BP33*(D33/$H33)),A33&gt;=DA$4,BD33+$BF33-$BP33)</f>
        <v>0</v>
      </c>
      <c r="BI33" s="1" cm="1">
        <f t="array" ref="BI33">_xlfn.IFS(OR(F33=0,B33&lt;DB$4),0,AND(A33&gt;=DA$4,B33&gt;=DB$4,F33&lt;BE33+($BF33*(F33/$H33))+(-$BP33*(F33/$H33))),F33,AND(A33&gt;=DA$4,B33&gt;=DB$4,$BB33&gt;$BG33),BE33+($BF33*(F33/$H33))+(-$BP33*(F33/$H33)),AND(A33&gt;=DA$4,B33&gt;=DB$4,OR(A33&gt;DA$6, B33&gt;DB$6),$AP33-SUM($AW33,$AY33:$AZ33)&lt;0),BE33+($BF33*(F33/$H33))+(-$BP33*(F33/$H33))+(BP33*(F33/$H33)),AND(A33&gt;=DA$4,B33&gt;=DB$4,$AQ33-SUM($AW33,$AY33:$AZ33)&lt;0),BE33+($BF33*(F33/$H33))+(-$BP33*(F33/$H33))+(BP33*(F33/$H33)),AND(B33&gt;=DB$4,F33&lt;BE33+$BF33-$BP33),F33,AND(B33&gt;=DB$4,$AP33-SUM($AW33,$AY33:$AZ33)&lt;0),BE33+($BF33*(F33/$H33))+(-$BP33*(F33/$H33))+(BP33*(F33/$H33)),B33&gt;=DB$4,BE33+$BF33-$BP33)</f>
        <v>0</v>
      </c>
      <c r="BJ33" s="64" cm="1">
        <f t="array" ref="BJ33">IF(AW33+BA33+BG33&gt;0, AW33+BA33+BG33-_xlfn.IFS(AND(A33&gt;=65,B33&gt;=65),VLOOKUP(Setup!I$4,Lookups!C$133:F$136,4),OR(A33&gt;=65,B33&gt;=65),VLOOKUP(Setup!I$4,Lookups!C$133:E$136,3),AND(A33&lt;65,B33&lt;65),VLOOKUP(Setup!I$4,Lookups!C$133:D$136,2)),0)</f>
        <v>0</v>
      </c>
      <c r="BK33" s="1" cm="1">
        <f t="array" ref="BK33">IF(BJ33&gt;0,_xlfn.IFS(Setup!I$4=Lookups!D$109,-_xlfn.IFS($BJ33&gt;=Lookups!D$157, Lookups!F$157+($BJ33-Lookups!D$157)*Lookups!G$157,$BJ33&gt;=Lookups!D$156, Lookups!F$156+($BJ33-Lookups!D$156)*Lookups!G$156,$BJ33&gt;=Lookups!D$155, Lookups!F$155+($BJ33-Lookups!D$155)*Lookups!G$155,$BJ33&gt;=Lookups!D$154, Lookups!F$154+($BJ33-Lookups!D$154)*Lookups!G$154,$BJ33&gt;=Lookups!D$153, Lookups!F$153+($BJ33-Lookups!D$153)*Lookups!G$153,$BJ33&gt;=Lookups!D$152, Lookups!F$152+($BJ33-Lookups!D$152)*Lookups!G$152,$BJ33&lt;Lookups!D$152,$BJ33*Lookups!G$151),Setup!I$4=Lookups!D$110,-_xlfn.IFS($BJ33&gt;=Lookups!D$167, Lookups!F$167+($BJ33-Lookups!D$167)*Lookups!G$167,$BJ33&gt;=Lookups!D$166, Lookups!F$166+($BJ33-Lookups!D$166)*Lookups!G$166,$BJ33&gt;=Lookups!D$165, Lookups!F$165+($BJ33-Lookups!D$165)*Lookups!G$165,$BJ33&gt;=Lookups!D$164, Lookups!F$164+($BJ33-Lookups!D$164)*Lookups!G$164,$BJ33&gt;=Lookups!D$163, Lookups!F$163+($BJ33-Lookups!D$163)*Lookups!G$163,$BJ33&gt;=Lookups!D$162, Lookups!F$162+($BJ33-Lookups!D$162)*Lookups!G$162,$BJ33&lt;Lookups!D$162,$BJ33*Lookups!G$161),Setup!I$4=Lookups!D$111,-_xlfn.IFS($BJ33&gt;=Lookups!D$177, Lookups!F$177+($BJ33-Lookups!D$177)*Lookups!G$177,$BJ33&gt;=Lookups!D$176, Lookups!F$176+($BJ33-Lookups!D$176)*Lookups!G$176,$BJ33&gt;=Lookups!D$175, Lookups!F$175+($BJ33-Lookups!D$175)*Lookups!G$175,$BJ33&gt;=Lookups!D$174, Lookups!F$174+($BJ33-Lookups!D$174)*Lookups!G$174,$BJ33&gt;=Lookups!D$173, Lookups!F$173+($BJ33-Lookups!D$173)*Lookups!G$173,$BJ33&gt;=Lookups!D$172, Lookups!F$172+($BJ33-Lookups!D$172)*Lookups!G$172,$BJ33&lt;Lookups!D$172,$BJ33*Lookups!G$171), Setup!I$4=Lookups!D$112,-_xlfn.IFS($BJ33&gt;=Lookups!D$187, Lookups!F$187+($BJ33-Lookups!D$187)*Lookups!G$187,$BJ33&gt;=Lookups!D$186, Lookups!F$186+($BJ33-Lookups!D$186)*Lookups!G$186,$BJ33&gt;=Lookups!D$185, Lookups!F$185+($BJ33-Lookups!D$185)*Lookups!G$185,$BJ33&gt;=Lookups!D$184, Lookups!F$184+($BJ33-Lookups!D$184)*Lookups!G$184,$BJ33&gt;=Lookups!D$183, Lookups!F$183+($BJ33-Lookups!D$183)*Lookups!G$183,$BJ33&gt;=Lookups!D$182, Lookups!F$182+($BJ33-Lookups!D$182)*Lookups!G$182,$BJ33&lt;Lookups!D$182,$BJ33*Lookups!G$181)),0)</f>
        <v>0</v>
      </c>
      <c r="BL33" s="18">
        <f t="shared" si="10"/>
        <v>0</v>
      </c>
      <c r="BM33" s="134">
        <f t="shared" si="24"/>
        <v>0</v>
      </c>
      <c r="BN33" s="134" cm="1">
        <f t="array" aca="1" ref="BN33" ca="1">INDIRECT(Setup!I$6&amp;"!"&amp;"A"&amp;ROW())</f>
        <v>0</v>
      </c>
      <c r="BO33" s="134">
        <f t="shared" si="25"/>
        <v>0</v>
      </c>
      <c r="BP33" s="1">
        <f t="shared" si="11"/>
        <v>0</v>
      </c>
      <c r="BQ33" s="1">
        <f t="shared" si="26"/>
        <v>0</v>
      </c>
      <c r="BS33" s="1">
        <f t="shared" si="27"/>
        <v>0</v>
      </c>
      <c r="BT33" s="1" cm="1">
        <f t="array" ref="BT33">-IF(BS33&gt;0,_xlfn.IFS((AW33+BA33+BG33+BS33)&gt;=VLOOKUP(Setup!I$4,Lookups!C$210:E$213,3),BS33*Lookups!D$203,(AW33+BA33+BG33+BS33)&gt;=VLOOKUP(Setup!I$4,Lookups!C$210:E$213,2),BS33*Lookups!D$197,(AW33+BA33+BG33+BS33)&lt;VLOOKUP(Setup!I$4,Lookups!C$210:E$213,2),0),0)</f>
        <v>0</v>
      </c>
      <c r="BU33" s="18">
        <f t="shared" si="28"/>
        <v>0</v>
      </c>
      <c r="BV33" s="1">
        <f t="shared" si="29"/>
        <v>0</v>
      </c>
      <c r="BW33" s="1" cm="1">
        <f t="array" aca="1" ref="BW33" ca="1">INDIRECT(Setup!I$6&amp;"!"&amp;"A"&amp;ROW()+100)</f>
        <v>0</v>
      </c>
      <c r="BX33" s="1">
        <f t="shared" ca="1" si="15"/>
        <v>0</v>
      </c>
      <c r="BY33" s="1">
        <f t="shared" ca="1" si="16"/>
        <v>0</v>
      </c>
      <c r="CA33" s="1">
        <f t="shared" si="34"/>
        <v>0</v>
      </c>
      <c r="CC33" s="1" cm="1">
        <f t="array" ref="CC33">_xlfn.IFS(AND(A33&lt;$DA$4,B33&lt;$DB$4),0,AND(AND(A33&gt;=$DA$4,B33&gt;=$DB$4),AND(A33&lt;=$DA$6,B33&lt;=$DB$6),AND(BH33=0,BI33=0)),SUM(AW33,AY33:AZ33,BD33:BF33,BP33,BS33,CA33)-AQ33,AND(AND(A33&gt;=$DA$4,B33&gt;=$DB$4),AND(A33&lt;=$DA$6,B33&lt;=$DB$6)),SUM(AW33,AY33:AZ33,BD33:BF33,BS33,CA33)-AQ33,AND(OR(A33&gt;=$DA$4,B33&gt;=$DB$4),AND(BH33=0,BI33=0)),SUM(AW33,AY33:AZ33,BD33:BF33,BP33,BS33,CA33)-AP33,OR(A33&gt;=$DA$4,B33&gt;=$DB$4),SUM(AW33,AY33:AZ33,BD33:BF33,BS33,CA33)-AP33)</f>
        <v>0</v>
      </c>
      <c r="CD33" s="142" t="str">
        <f t="shared" si="30"/>
        <v/>
      </c>
    </row>
    <row r="34" spans="1:82" x14ac:dyDescent="0.3">
      <c r="A34" s="354">
        <f t="shared" si="31"/>
        <v>27</v>
      </c>
      <c r="B34" s="354">
        <f t="shared" si="32"/>
        <v>27</v>
      </c>
      <c r="C34" s="359">
        <f t="shared" si="33"/>
        <v>9863</v>
      </c>
      <c r="D34" s="326" cm="1">
        <f t="array" ref="D34">_xlfn.IFS(AND(A34&gt;DA$6,B34&gt;DB$6),0,AND(A34&gt;DA$3,A34&lt;=DA$4),D33*(1+DH$1),OR(A34&gt;DA$6,A34&gt;DA$4),(D33-BH33)*(1+DH$2),A34&lt;=DA$4,(D33*(1+DH$1))+(D$4))</f>
        <v>0</v>
      </c>
      <c r="E34" s="375"/>
      <c r="F34" s="326" cm="1">
        <f t="array" ref="F34">_xlfn.IFS(AND(A34&gt;DA$6,B34&gt;DB$6),0,AND(B34&gt;DB$3,B34&lt;=DB$4),F33*(1+DH$1),OR(B34&gt;DB$6,B34&gt;DB$4),(F33-BI33)*(1+DH$2),B34&lt;=DB$4,(F33*(1+DH$1))+(F$4))</f>
        <v>0</v>
      </c>
      <c r="G34" s="375"/>
      <c r="H34" s="1">
        <f t="shared" si="17"/>
        <v>0</v>
      </c>
      <c r="I34" s="2">
        <f t="shared" si="2"/>
        <v>0</v>
      </c>
      <c r="J34" s="14">
        <f t="shared" si="35"/>
        <v>0</v>
      </c>
      <c r="L34" s="402" cm="1">
        <f t="array" ref="L34">_xlfn.IFS(AND(A34&gt;DA$6,B34&gt;DB$6),0,A34&lt;DA$6,0,A34=DA$6,L$4,AND(A34&gt;DA$6,B34&lt;=DB$4),L33*(1+DH$1),AND(A34&gt;DA$6,B34&gt;DB$4),IF(Y33=0,0,(L33-((L33/Y33)*BY33))*(1+DH$2)))</f>
        <v>0</v>
      </c>
      <c r="M34" s="402" cm="1">
        <f t="array" ref="M34">_xlfn.IFS(AND(A34&gt;DA$6,B34&gt;DB$6),0,B34&lt;DB$6,0,B34=DB$6,M$4,AND(B34&gt;DB$6,A34&lt;=DA$4),M33*(1+DH$1),AND(A34&gt;DA$4,B34&gt;DB$6),IF(Y33=0,0,(M33-((M33/Y33)*BY33))*(1+DH$2)))</f>
        <v>0</v>
      </c>
      <c r="N34" s="327"/>
      <c r="O34" s="327" cm="1">
        <f t="array" ref="O34">_xlfn.IFS(OR(ISBLANK(Setup!C$63),Setup!C$63&gt;YEAR(C34),AND(A34&gt;DA$6,B34&gt;DB$6),ISBLANK(Y33)),0,Setup!C$63=YEAR(C34),Setup!C$62,AND(OR(A34&lt;=DA$4,B34&lt;=DB$4),Setup!C$63&lt;YEAR(C34)),O33*(1+DH$1),AND(A34&gt;DA$4,B34&gt;DB$4,Setup!C$63&lt;YEAR(C34)),IF(Y33=0,0,(O33-((O33/Y33)*BY33))*(1+DH$2)))</f>
        <v>0</v>
      </c>
      <c r="P34" s="327" cm="1">
        <f t="array" ref="P34">_xlfn.IFS(OR(ISBLANK(Setup!C$67),Setup!C$67&gt;YEAR(C34),AND(A34&gt;DA$6,B34&gt;DB$6)),0,Setup!C$67=YEAR(C34),Setup!C$66,AND(OR(A34&lt;=DA$4,B34&lt;=DB$4),Setup!C$67&lt;YEAR(C34)),P33*(1+DH$1),AND(A34&gt;DA$4,B34&gt;DB$4,Setup!C$67&lt;YEAR(C34)),IF(Y33=0,0,(P33-((P33/Y33)*BY33))*(1+DH$2)))</f>
        <v>0</v>
      </c>
      <c r="Q34" s="327" cm="1">
        <f t="array" ref="Q34">_xlfn.IFS(OR(ISBLANK(Setup!C$71),Setup!C$71&gt;YEAR(C34),AND(A34&gt;DA$6,B34&gt;DB$6)),0,Setup!C$71=YEAR(C34),Setup!C$70,AND(OR(A34&lt;=DA$4,B34&lt;=DB$4),Setup!C$71&lt;YEAR(C34)),Q33*(1+DH$1),AND(A34&gt;DA$4,B34&gt;DB$4,Setup!C$71&lt;YEAR(C34)),IF(Y33=0,0,(Q33-((Q33/Y33)*BY33))*(1+DH$2)))</f>
        <v>0</v>
      </c>
      <c r="R34" s="327" cm="1">
        <f t="array" ref="R34">_xlfn.IFS(OR(ISBLANK(Setup!C$75),Setup!C$75&gt;YEAR(C34),AND(A34&gt;DA$6,B34&gt;DB$6)),0,Setup!C$75=YEAR(C34),Setup!C$74,AND(OR(A34&lt;=DA$4,B34&lt;=DB$4),Setup!C$75&lt;YEAR(C34)),R33*(1+DH$1),AND(A34&gt;DA$4,B34&gt;DB$4,Setup!C$75&lt;YEAR(C34)),IF(Y33=0,0,(R33-((R33/Y33)*BY33))*(1+DH$2)))</f>
        <v>0</v>
      </c>
      <c r="S34" s="327"/>
      <c r="T34" s="326" cm="1">
        <f t="array" ref="T34">_xlfn.IFS(AND($A34&gt;$DA$6,$B34&gt;$DB$6),0,AND($W$2=$DA$2,$A34&gt;$DA$4),IF($Y33=0,0,(T33-((T33/$Y33)*$BY33))*(1+$DH$2)),AND($W$2=$DB$2,$B34&gt;$DB$4),IF($Y33=0,0,(T33-((T33/$Y33)*$BY33))*(1+$DH$2)),AND($W$2=$DA$2,OR($A34&gt;$DA$3,$A34&gt;$DA$6)),(T33*(1+$DH$1)),AND($W$2=$DB$2,OR($B34&gt;$DB$3,$B34&gt;$DB$6)),(T33*(1+$DH$1)),AND($W$2=$DA$2,$A34&lt;=$DA$3,$A34&lt;=$DA$4,$A34&lt;=$DA$5),(T33*(1+$DH$1))+(T$4),AND($W$2=$DB$2,$B34&lt;=$DB$3,$B34&lt;=$DB$4,$B34&lt;=$DB$5),(T33*(1+$DH$1))+(T$4))</f>
        <v>0</v>
      </c>
      <c r="U34" s="326" cm="1">
        <f t="array" ref="U34">_xlfn.IFS(AND($A34&gt;$DA$6,$B34&gt;$DB$6),0,AND($W$2=$DA$2,$A34&gt;$DA$4),IF($Y33=0,0,(U33-((U33/$Y33)*$BY33))*(1+$DH$2)),AND($W$2=$DB$2,$B34&gt;$DB$4),IF($Y33=0,0,(U33-((U33/$Y33)*$BY33))*(1+$DH$2)),AND($W$2=$DA$2,OR($A34&gt;$DA$3,$A34&gt;$DA$6)),(U33*(1+$DH$1)),AND($W$2=$DB$2,OR($B34&gt;$DB$3,$B34&gt;$DB$6)),(U33*(1+$DH$1)),AND($W$2=$DA$2,$A34&lt;=$DA$3,$A34&lt;=$DA$4,$A34&lt;=$DA$5),(U33*(1+$DH$1))+(U$4),AND($W$2=$DB$2,$B34&lt;=$DB$3,$B34&lt;=$DB$4,$B34&lt;=$DB$5),(U33*(1+$DH$1))+(U$4))</f>
        <v>0</v>
      </c>
      <c r="V34" s="326" cm="1">
        <f t="array" ref="V34">_xlfn.IFS(AND($A34&gt;$DA$6,$B34&gt;$DB$6),0,AND($W$2=$DA$2,$A34&gt;$DA$4),IF($Y33=0,0,(V33-((V33/$Y33)*$BY33))*(1+$DH$2)),AND($W$2=$DB$2,$B34&gt;$DB$4),IF($Y33=0,0,(V33-((V33/$Y33)*$BY33))*(1+$DH$2)),AND($W$2=$DA$2,OR($A34&gt;$DA$3,$A34&gt;$DA$6)),(V33*(1+$DH$1)),AND($W$2=$DB$2,OR($B34&gt;$DB$3,$B34&gt;$DB$6)),(V33*(1+$DH$1)),AND($W$2=$DA$2,$A34&lt;=$DA$3,$A34&lt;=$DA$4,$A34&lt;=$DA$5),(V33*(1+$DH$1))+(V$4),AND($W$2=$DB$2,$B34&lt;=$DB$3,$B34&lt;=$DB$4,$B34&lt;=$DB$5),(V33*(1+$DH$1))+(V$4))</f>
        <v>0</v>
      </c>
      <c r="W34" s="326" cm="1">
        <f t="array" ref="W34">_xlfn.IFS(AND($A34&gt;$DA$6,$B34&gt;$DB$6),0,AND($W$2=$DA$2,$A34&gt;$DA$4),IF($Y33=0,0,(W33-((W33/$Y33)*$BY33))*(1+$DH$2)),AND($W$2=$DB$2,$B34&gt;$DB$4),IF($Y33=0,0,(W33-((W33/$Y33)*$BY33))*(1+$DH$2)),AND($W$2=$DA$2,OR($A34&gt;$DA$3,$A34&gt;$DA$6)),(W33*(1+$DH$1)),AND($W$2=$DB$2,OR($B34&gt;$DB$3,$B34&gt;$DB$6)),(W33*(1+$DH$1)),AND($W$2=$DA$2,$A34&lt;=$DA$3,$A34&lt;=$DA$4,$A34&lt;=$DA$5),(W33*(1+$DH$1))+(W$4),AND($W$2=$DB$2,$B34&lt;=$DB$3,$B34&lt;=$DB$4,$B34&lt;=$DB$5),(W33*(1+$DH$1))+(W$4))</f>
        <v>0</v>
      </c>
      <c r="Y34" s="1">
        <f t="shared" si="18"/>
        <v>0</v>
      </c>
      <c r="Z34" s="2">
        <f t="shared" si="19"/>
        <v>0</v>
      </c>
      <c r="AA34" s="375"/>
      <c r="AC34" s="326" cm="1">
        <f t="array" ref="AC34">_xlfn.IFS(AND(A34&gt;DA$6,B34&gt;DB$6),0,AND(A34&gt;DA$4,B34&gt;DB$4),IF(AG33=0,0,(AC33-((AC33/AG33)*CA33))*(1+DH$2)),OR(A34&gt;DA$3,A34&gt;DA$6),AC33*(1+DH$1),A34&gt;DA$4,(AC33-CA33)*(1+DH$2),AND(A34&lt;=DA$3,A34&lt;=DA$4,A34&lt;=DA$6),(AC33*(1+DH$1))+(AC$4))</f>
        <v>0</v>
      </c>
      <c r="AD34" s="375"/>
      <c r="AE34" s="326" cm="1">
        <f t="array" ref="AE34">_xlfn.IFS(AND(A34&gt;DA$6,B34&gt;DB$6),0,AND(A34&gt;DA$4,B34&gt;DB$4),IF(AG33=0,0,(AE33-((AE33/AG33)*CA33))*(1+DH$2)),OR(B34&gt;DB$3,B34&gt;DB$6),AE33*(1+DH$1),B34&gt;DB$4,(AE33-CA33)*(1+DH$2),AND(B34&lt;=DB$3,B34&lt;=DB$4,B34&lt;=DB$6),(AE33*(1+DH$1))+(AE$4))</f>
        <v>0</v>
      </c>
      <c r="AF34" s="375"/>
      <c r="AG34" s="1">
        <f t="shared" si="5"/>
        <v>0</v>
      </c>
      <c r="AH34" s="2">
        <f t="shared" si="20"/>
        <v>0</v>
      </c>
      <c r="AI34" s="14">
        <f t="shared" si="6"/>
        <v>0</v>
      </c>
      <c r="AK34" s="1">
        <f t="shared" si="21"/>
        <v>0</v>
      </c>
      <c r="AL34" s="14">
        <f t="shared" si="22"/>
        <v>0</v>
      </c>
      <c r="AM34" s="14" t="str">
        <f t="shared" si="23"/>
        <v/>
      </c>
      <c r="AO34" s="15">
        <f t="shared" si="7"/>
        <v>0</v>
      </c>
      <c r="AP34" s="1">
        <f>IF(AND(B34&gt;=$DB$6,A34&gt;=$DA$6),0,AP33*(1+Lookups!C$12))</f>
        <v>0</v>
      </c>
      <c r="AQ34" s="1">
        <f>IF(AND(B34&gt;=$DB$6,A34&gt;=$DA$6),0,AQ33*(1+Lookups!C$12))</f>
        <v>0</v>
      </c>
      <c r="AS34" s="1" cm="1">
        <f t="array" ref="AS34">_xlfn.IFS(OR(AS$6="",AND(A34&gt;=DA$6,B34&gt;=DB$6),AND(A34&lt;DA$4,B34&lt;DB$4)),0,AND(A34=DA$4,DA$4&lt;=DB$4),AS$6,AND(B34=DB$4,DA$4&gt;=DB$4),AS$6,OR(A34&gt;DA$4,B34&gt;DB$4),AS33*(1+Setup!C$103))</f>
        <v>0</v>
      </c>
      <c r="AT34" s="1" cm="1">
        <f t="array" ref="AT34">_xlfn.IFS(OR(AT$6="",AND(A34&gt;=DA$6,B34&gt;=DB$6),AND(A34&lt;DA$4,B34&lt;DB$4)),0,AND(A34=DA$4,DA$4&lt;=DB$4),AT$6,AND(B34=DB$4,DA$4&gt;=DB$4),AT$6,OR(A34&gt;DA$4,B34&gt;DB$4),AT33*(1+Setup!C$103))</f>
        <v>0</v>
      </c>
      <c r="AU34" s="1" cm="1">
        <f t="array" ref="AU34">_xlfn.IFS(OR(AU$6="",AND(A34&gt;=DA$6,B34&gt;=DB$6),AND(A34&lt;DA$4,B34&lt;DB$4)),0,AND(A34=DA$4,DA$4&lt;=DB$4),AU$6,AND(B34=DB$4,DA$4&gt;=DB$4),AU$6,OR(A34&gt;DA$4,B34&gt;DB$4),AU33*(1+Setup!C$103))</f>
        <v>0</v>
      </c>
      <c r="AV34" s="1" cm="1">
        <f t="array" ref="AV34">_xlfn.IFS(OR(AV$6="",AND(A34&gt;=DA$6,B34&gt;=DB$6),AND(A34&lt;DA$4,B34&lt;DB$4)),0,AND(A34=DA$4,DA$4&lt;=DB$4),AV$6,AND(B34=DB$4,DA$4&gt;=DB$4),AV$6,OR(A34&gt;DA$4,B34&gt;DB$4),AV33*(1+Setup!C$103))</f>
        <v>0</v>
      </c>
      <c r="AW34" s="1">
        <f t="shared" si="8"/>
        <v>0</v>
      </c>
      <c r="AY34" s="1" cm="1">
        <f t="array" ref="AY34">_xlfn.IFS(OR(AND(A34&gt;=DA$6,B34&gt;=DB$6),A34&lt;DA$5),0,AND(A34=DA$5,YEAR(C34)&gt;=Lookups!D$89),VLOOKUP(A34,Lookups!B$94:F$102,3),AND(A34=DA$5,YEAR(C34)&lt;Lookups!D$89),VLOOKUP(A34,Lookups!B$94:F$102,2),AND(A34&gt;DA$5,YEAR(C34)=Lookups!D$89),(AY33*Lookups!D$90)*(1+Lookups!C$20),AND(A34&gt;DA$5,YEAR(C34)&lt;&gt;Lookups!D$89),AY33*(1+Lookups!C$20))</f>
        <v>0</v>
      </c>
      <c r="AZ34" s="1" cm="1">
        <f t="array" ref="AZ34">_xlfn.IFS(OR(ISBLANK(Setup!K$91),Setup!K$91=0,AND(A34&gt;=DA$6,B34&gt;=DB$6),B34&lt;DB$5),0,AND(B34=DB$5,YEAR(C34)&gt;=Lookups!D$89),VLOOKUP(B34,Lookups!B$94:F$102,5),AND(B34=DB$5,YEAR(C34)&lt;Lookups!D$89),VLOOKUP(B34,Lookups!B$94:F$102,4),AND(B34&gt;DB$5,YEAR(C34)=Lookups!D$89),(AZ33*Lookups!D$90)*(1+Lookups!C$20),AND(B34&gt;DB$5,YEAR(C34)&lt;&gt;Lookups!D$89),AZ33*(1+Lookups!C$20))</f>
        <v>0</v>
      </c>
      <c r="BA34" s="65">
        <f>IF(OR(AY34&gt;0,AZ34&gt;0),(AY34+AZ34)*Lookups!D$120,0)</f>
        <v>0</v>
      </c>
      <c r="BB34" s="1" cm="1">
        <f t="array" ref="BB34">_xlfn.IFS(AND(A34&lt;DA$4,B34&lt;DB$4),0,OR(_xlfn.XOR(A34&gt;DA$6,B34&gt;DB$6),_xlfn.XOR(A34&gt;=DA$4,B34&gt;=DB$4)),IF(AP34-SUM(AW34,AY34:AZ34)&gt;0,AP34-SUM(AW34,AY34:AZ34),0),AQ34-SUM(AW34,AY34:AZ34)&gt;0, AQ34-SUM(AW34,AY34:AZ34),AQ34-SUM(AW34,AY34:AZ34)&lt;=0,0)</f>
        <v>0</v>
      </c>
      <c r="BD34" s="1" cm="1">
        <f t="array" ref="BD34">_xlfn.IFS(AND(A34&gt;=DA$6,B34&gt;=DB$6),0,AND(A34&gt;=DA$6,B34&gt;=Lookups!C$35),D34/VLOOKUP(B34,Lookups!C$37:D$67,2),A34&lt;Lookups!$C$35,0,A34&gt;=Lookups!C$35,D34/VLOOKUP(A34,Lookups!C$37:D$67,2))</f>
        <v>0</v>
      </c>
      <c r="BE34" s="1" cm="1">
        <f t="array" ref="BE34">_xlfn.IFS(AND(A34&gt;=DA$6,B34&gt;=DB$6),0,AND(B34&gt;=DB$6,A34&gt;=Lookups!C$35),F34/VLOOKUP(A34,Lookups!C$37:D$67,2),B34&lt;Lookups!$C$35,0,B34&gt;=Lookups!C$35,F34/VLOOKUP(B34,Lookups!C$37:D$67,2))</f>
        <v>0</v>
      </c>
      <c r="BF34" s="1" cm="1">
        <f t="array" ref="BF34">_xlfn.IFS($BB34&lt;=0,0,AND(A34&gt;=DA$4,B34&gt;=DB$4,$BB34*I34&lt;(BD34+BE34)),0,AND(A34&gt;=DA$4,B34&gt;=DB$4,H34&gt;=(BB34*I34)-BD34-BE34),(BB34*I34)-BD34-BE34,AND(A34&gt;=DA$4,B34&gt;=DB$4,H34&lt;(BB34*I34)-BD34-BE34),H34,AND(A34&gt;=DA$4,$BB34*I34&lt;(BD34)),0,AND(A34&gt;=DA$4,H34&gt;=(BB34*I34)-BD34),(BB34*I34)-BD34,AND(A34&gt;=DA$4,H34&lt;(BB34*I34)-BD34),H34,AND(B34&gt;=DB$4,$BB34*I34&lt;(BE34)),0,AND(B34&gt;=DB$4,H34&gt;=(BB34*I34)-BE34),(BB34*I34)-BE34,AND(B34&gt;=DB$4,H34&lt;(BB34*I34)-BE34),H34)</f>
        <v>0</v>
      </c>
      <c r="BG34" s="1">
        <f t="shared" si="9"/>
        <v>0</v>
      </c>
      <c r="BH34" s="1" cm="1">
        <f t="array" ref="BH34">_xlfn.IFS(OR(D34=0,A34&lt;DA$4),0,AND(A34&gt;=DA$4,B34&gt;=DB$4,D34&lt;BD34+($BF34*(D34/$H34))+(-$BP34*(D34/$H34))),D34,AND(A34&gt;=DA$4,B34&gt;=DB$4,$BB34&gt;$BG34),BD34+($BF34*(D34/$H34))+(-$BP34*(D34/$H34)),AND(A34&gt;=DA$4,B34&gt;=DB$4,OR(A34&gt;DA$6, B34&gt;DB$6),$AP34-SUM($AW34,$AY34:$AZ34)&lt;0),BD34+($BF34*(D34/$H34))+(-$BP34*(D34/$H34))+(BP34*(D34/$H34)),AND(A34&gt;=DA$4,B34&gt;=DB$4,$AQ34-SUM($AW34,$AY34:$AZ34)&lt;0),BD34+($BF34*(D34/$H34))+(-$BP34*(D34/$H34))+(BP34*(D34/$H34)),AND(A34&gt;=DA$4,D34&lt;BD34+$BF34-$BP34),D34,AND(A34&gt;=DA$4,$AP34-SUM($AW34,$AY34:$AZ34)&lt;0),BD34+($BF34*(D34/$H34))+(-$BP34*(D34/$H34))+(BP34*(D34/$H34)),A34&gt;=DA$4,BD34+$BF34-$BP34)</f>
        <v>0</v>
      </c>
      <c r="BI34" s="1" cm="1">
        <f t="array" ref="BI34">_xlfn.IFS(OR(F34=0,B34&lt;DB$4),0,AND(A34&gt;=DA$4,B34&gt;=DB$4,F34&lt;BE34+($BF34*(F34/$H34))+(-$BP34*(F34/$H34))),F34,AND(A34&gt;=DA$4,B34&gt;=DB$4,$BB34&gt;$BG34),BE34+($BF34*(F34/$H34))+(-$BP34*(F34/$H34)),AND(A34&gt;=DA$4,B34&gt;=DB$4,OR(A34&gt;DA$6, B34&gt;DB$6),$AP34-SUM($AW34,$AY34:$AZ34)&lt;0),BE34+($BF34*(F34/$H34))+(-$BP34*(F34/$H34))+(BP34*(F34/$H34)),AND(A34&gt;=DA$4,B34&gt;=DB$4,$AQ34-SUM($AW34,$AY34:$AZ34)&lt;0),BE34+($BF34*(F34/$H34))+(-$BP34*(F34/$H34))+(BP34*(F34/$H34)),AND(B34&gt;=DB$4,F34&lt;BE34+$BF34-$BP34),F34,AND(B34&gt;=DB$4,$AP34-SUM($AW34,$AY34:$AZ34)&lt;0),BE34+($BF34*(F34/$H34))+(-$BP34*(F34/$H34))+(BP34*(F34/$H34)),B34&gt;=DB$4,BE34+$BF34-$BP34)</f>
        <v>0</v>
      </c>
      <c r="BJ34" s="64" cm="1">
        <f t="array" ref="BJ34">IF(AW34+BA34+BG34&gt;0, AW34+BA34+BG34-_xlfn.IFS(AND(A34&gt;=65,B34&gt;=65),VLOOKUP(Setup!I$4,Lookups!C$133:F$136,4),OR(A34&gt;=65,B34&gt;=65),VLOOKUP(Setup!I$4,Lookups!C$133:E$136,3),AND(A34&lt;65,B34&lt;65),VLOOKUP(Setup!I$4,Lookups!C$133:D$136,2)),0)</f>
        <v>0</v>
      </c>
      <c r="BK34" s="1" cm="1">
        <f t="array" ref="BK34">IF(BJ34&gt;0,_xlfn.IFS(Setup!I$4=Lookups!D$109,-_xlfn.IFS($BJ34&gt;=Lookups!D$157, Lookups!F$157+($BJ34-Lookups!D$157)*Lookups!G$157,$BJ34&gt;=Lookups!D$156, Lookups!F$156+($BJ34-Lookups!D$156)*Lookups!G$156,$BJ34&gt;=Lookups!D$155, Lookups!F$155+($BJ34-Lookups!D$155)*Lookups!G$155,$BJ34&gt;=Lookups!D$154, Lookups!F$154+($BJ34-Lookups!D$154)*Lookups!G$154,$BJ34&gt;=Lookups!D$153, Lookups!F$153+($BJ34-Lookups!D$153)*Lookups!G$153,$BJ34&gt;=Lookups!D$152, Lookups!F$152+($BJ34-Lookups!D$152)*Lookups!G$152,$BJ34&lt;Lookups!D$152,$BJ34*Lookups!G$151),Setup!I$4=Lookups!D$110,-_xlfn.IFS($BJ34&gt;=Lookups!D$167, Lookups!F$167+($BJ34-Lookups!D$167)*Lookups!G$167,$BJ34&gt;=Lookups!D$166, Lookups!F$166+($BJ34-Lookups!D$166)*Lookups!G$166,$BJ34&gt;=Lookups!D$165, Lookups!F$165+($BJ34-Lookups!D$165)*Lookups!G$165,$BJ34&gt;=Lookups!D$164, Lookups!F$164+($BJ34-Lookups!D$164)*Lookups!G$164,$BJ34&gt;=Lookups!D$163, Lookups!F$163+($BJ34-Lookups!D$163)*Lookups!G$163,$BJ34&gt;=Lookups!D$162, Lookups!F$162+($BJ34-Lookups!D$162)*Lookups!G$162,$BJ34&lt;Lookups!D$162,$BJ34*Lookups!G$161),Setup!I$4=Lookups!D$111,-_xlfn.IFS($BJ34&gt;=Lookups!D$177, Lookups!F$177+($BJ34-Lookups!D$177)*Lookups!G$177,$BJ34&gt;=Lookups!D$176, Lookups!F$176+($BJ34-Lookups!D$176)*Lookups!G$176,$BJ34&gt;=Lookups!D$175, Lookups!F$175+($BJ34-Lookups!D$175)*Lookups!G$175,$BJ34&gt;=Lookups!D$174, Lookups!F$174+($BJ34-Lookups!D$174)*Lookups!G$174,$BJ34&gt;=Lookups!D$173, Lookups!F$173+($BJ34-Lookups!D$173)*Lookups!G$173,$BJ34&gt;=Lookups!D$172, Lookups!F$172+($BJ34-Lookups!D$172)*Lookups!G$172,$BJ34&lt;Lookups!D$172,$BJ34*Lookups!G$171), Setup!I$4=Lookups!D$112,-_xlfn.IFS($BJ34&gt;=Lookups!D$187, Lookups!F$187+($BJ34-Lookups!D$187)*Lookups!G$187,$BJ34&gt;=Lookups!D$186, Lookups!F$186+($BJ34-Lookups!D$186)*Lookups!G$186,$BJ34&gt;=Lookups!D$185, Lookups!F$185+($BJ34-Lookups!D$185)*Lookups!G$185,$BJ34&gt;=Lookups!D$184, Lookups!F$184+($BJ34-Lookups!D$184)*Lookups!G$184,$BJ34&gt;=Lookups!D$183, Lookups!F$183+($BJ34-Lookups!D$183)*Lookups!G$183,$BJ34&gt;=Lookups!D$182, Lookups!F$182+($BJ34-Lookups!D$182)*Lookups!G$182,$BJ34&lt;Lookups!D$182,$BJ34*Lookups!G$181)),0)</f>
        <v>0</v>
      </c>
      <c r="BL34" s="18">
        <f t="shared" si="10"/>
        <v>0</v>
      </c>
      <c r="BM34" s="134">
        <f t="shared" si="24"/>
        <v>0</v>
      </c>
      <c r="BN34" s="134" cm="1">
        <f t="array" aca="1" ref="BN34" ca="1">INDIRECT(Setup!I$6&amp;"!"&amp;"A"&amp;ROW())</f>
        <v>0</v>
      </c>
      <c r="BO34" s="134">
        <f t="shared" si="25"/>
        <v>0</v>
      </c>
      <c r="BP34" s="1">
        <f t="shared" si="11"/>
        <v>0</v>
      </c>
      <c r="BQ34" s="1">
        <f t="shared" si="26"/>
        <v>0</v>
      </c>
      <c r="BS34" s="1">
        <f t="shared" si="27"/>
        <v>0</v>
      </c>
      <c r="BT34" s="1" cm="1">
        <f t="array" ref="BT34">-IF(BS34&gt;0,_xlfn.IFS((AW34+BA34+BG34+BS34)&gt;=VLOOKUP(Setup!I$4,Lookups!C$210:E$213,3),BS34*Lookups!D$203,(AW34+BA34+BG34+BS34)&gt;=VLOOKUP(Setup!I$4,Lookups!C$210:E$213,2),BS34*Lookups!D$197,(AW34+BA34+BG34+BS34)&lt;VLOOKUP(Setup!I$4,Lookups!C$210:E$213,2),0),0)</f>
        <v>0</v>
      </c>
      <c r="BU34" s="18">
        <f t="shared" si="28"/>
        <v>0</v>
      </c>
      <c r="BV34" s="1">
        <f t="shared" si="29"/>
        <v>0</v>
      </c>
      <c r="BW34" s="1" cm="1">
        <f t="array" aca="1" ref="BW34" ca="1">INDIRECT(Setup!I$6&amp;"!"&amp;"A"&amp;ROW()+100)</f>
        <v>0</v>
      </c>
      <c r="BX34" s="1">
        <f t="shared" ca="1" si="15"/>
        <v>0</v>
      </c>
      <c r="BY34" s="1">
        <f t="shared" ca="1" si="16"/>
        <v>0</v>
      </c>
      <c r="CA34" s="1">
        <f t="shared" si="34"/>
        <v>0</v>
      </c>
      <c r="CC34" s="1" cm="1">
        <f t="array" ref="CC34">_xlfn.IFS(AND(A34&lt;$DA$4,B34&lt;$DB$4),0,AND(AND(A34&gt;=$DA$4,B34&gt;=$DB$4),AND(A34&lt;=$DA$6,B34&lt;=$DB$6),AND(BH34=0,BI34=0)),SUM(AW34,AY34:AZ34,BD34:BF34,BP34,BS34,CA34)-AQ34,AND(AND(A34&gt;=$DA$4,B34&gt;=$DB$4),AND(A34&lt;=$DA$6,B34&lt;=$DB$6)),SUM(AW34,AY34:AZ34,BD34:BF34,BS34,CA34)-AQ34,AND(OR(A34&gt;=$DA$4,B34&gt;=$DB$4),AND(BH34=0,BI34=0)),SUM(AW34,AY34:AZ34,BD34:BF34,BP34,BS34,CA34)-AP34,OR(A34&gt;=$DA$4,B34&gt;=$DB$4),SUM(AW34,AY34:AZ34,BD34:BF34,BS34,CA34)-AP34)</f>
        <v>0</v>
      </c>
      <c r="CD34" s="142" t="str">
        <f t="shared" si="30"/>
        <v/>
      </c>
    </row>
    <row r="35" spans="1:82" x14ac:dyDescent="0.3">
      <c r="A35" s="354">
        <f t="shared" si="31"/>
        <v>28</v>
      </c>
      <c r="B35" s="354">
        <f t="shared" si="32"/>
        <v>28</v>
      </c>
      <c r="C35" s="359">
        <f t="shared" si="33"/>
        <v>10228</v>
      </c>
      <c r="D35" s="326" cm="1">
        <f t="array" ref="D35">_xlfn.IFS(AND(A35&gt;DA$6,B35&gt;DB$6),0,AND(A35&gt;DA$3,A35&lt;=DA$4),D34*(1+DH$1),OR(A35&gt;DA$6,A35&gt;DA$4),(D34-BH34)*(1+DH$2),A35&lt;=DA$4,(D34*(1+DH$1))+(D$4))</f>
        <v>0</v>
      </c>
      <c r="E35" s="375"/>
      <c r="F35" s="326" cm="1">
        <f t="array" ref="F35">_xlfn.IFS(AND(A35&gt;DA$6,B35&gt;DB$6),0,AND(B35&gt;DB$3,B35&lt;=DB$4),F34*(1+DH$1),OR(B35&gt;DB$6,B35&gt;DB$4),(F34-BI34)*(1+DH$2),B35&lt;=DB$4,(F34*(1+DH$1))+(F$4))</f>
        <v>0</v>
      </c>
      <c r="G35" s="375"/>
      <c r="H35" s="1">
        <f t="shared" si="17"/>
        <v>0</v>
      </c>
      <c r="I35" s="2">
        <f t="shared" si="2"/>
        <v>0</v>
      </c>
      <c r="J35" s="14">
        <f t="shared" si="35"/>
        <v>0</v>
      </c>
      <c r="L35" s="402" cm="1">
        <f t="array" ref="L35">_xlfn.IFS(AND(A35&gt;DA$6,B35&gt;DB$6),0,A35&lt;DA$6,0,A35=DA$6,L$4,AND(A35&gt;DA$6,B35&lt;=DB$4),L34*(1+DH$1),AND(A35&gt;DA$6,B35&gt;DB$4),IF(Y34=0,0,(L34-((L34/Y34)*BY34))*(1+DH$2)))</f>
        <v>0</v>
      </c>
      <c r="M35" s="402" cm="1">
        <f t="array" ref="M35">_xlfn.IFS(AND(A35&gt;DA$6,B35&gt;DB$6),0,B35&lt;DB$6,0,B35=DB$6,M$4,AND(B35&gt;DB$6,A35&lt;=DA$4),M34*(1+DH$1),AND(A35&gt;DA$4,B35&gt;DB$6),IF(Y34=0,0,(M34-((M34/Y34)*BY34))*(1+DH$2)))</f>
        <v>0</v>
      </c>
      <c r="N35" s="327"/>
      <c r="O35" s="327" cm="1">
        <f t="array" ref="O35">_xlfn.IFS(OR(ISBLANK(Setup!C$63),Setup!C$63&gt;YEAR(C35),AND(A35&gt;DA$6,B35&gt;DB$6),ISBLANK(Y34)),0,Setup!C$63=YEAR(C35),Setup!C$62,AND(OR(A35&lt;=DA$4,B35&lt;=DB$4),Setup!C$63&lt;YEAR(C35)),O34*(1+DH$1),AND(A35&gt;DA$4,B35&gt;DB$4,Setup!C$63&lt;YEAR(C35)),IF(Y34=0,0,(O34-((O34/Y34)*BY34))*(1+DH$2)))</f>
        <v>0</v>
      </c>
      <c r="P35" s="327" cm="1">
        <f t="array" ref="P35">_xlfn.IFS(OR(ISBLANK(Setup!C$67),Setup!C$67&gt;YEAR(C35),AND(A35&gt;DA$6,B35&gt;DB$6)),0,Setup!C$67=YEAR(C35),Setup!C$66,AND(OR(A35&lt;=DA$4,B35&lt;=DB$4),Setup!C$67&lt;YEAR(C35)),P34*(1+DH$1),AND(A35&gt;DA$4,B35&gt;DB$4,Setup!C$67&lt;YEAR(C35)),IF(Y34=0,0,(P34-((P34/Y34)*BY34))*(1+DH$2)))</f>
        <v>0</v>
      </c>
      <c r="Q35" s="327" cm="1">
        <f t="array" ref="Q35">_xlfn.IFS(OR(ISBLANK(Setup!C$71),Setup!C$71&gt;YEAR(C35),AND(A35&gt;DA$6,B35&gt;DB$6)),0,Setup!C$71=YEAR(C35),Setup!C$70,AND(OR(A35&lt;=DA$4,B35&lt;=DB$4),Setup!C$71&lt;YEAR(C35)),Q34*(1+DH$1),AND(A35&gt;DA$4,B35&gt;DB$4,Setup!C$71&lt;YEAR(C35)),IF(Y34=0,0,(Q34-((Q34/Y34)*BY34))*(1+DH$2)))</f>
        <v>0</v>
      </c>
      <c r="R35" s="327" cm="1">
        <f t="array" ref="R35">_xlfn.IFS(OR(ISBLANK(Setup!C$75),Setup!C$75&gt;YEAR(C35),AND(A35&gt;DA$6,B35&gt;DB$6)),0,Setup!C$75=YEAR(C35),Setup!C$74,AND(OR(A35&lt;=DA$4,B35&lt;=DB$4),Setup!C$75&lt;YEAR(C35)),R34*(1+DH$1),AND(A35&gt;DA$4,B35&gt;DB$4,Setup!C$75&lt;YEAR(C35)),IF(Y34=0,0,(R34-((R34/Y34)*BY34))*(1+DH$2)))</f>
        <v>0</v>
      </c>
      <c r="S35" s="327"/>
      <c r="T35" s="326" cm="1">
        <f t="array" ref="T35">_xlfn.IFS(AND($A35&gt;$DA$6,$B35&gt;$DB$6),0,AND($W$2=$DA$2,$A35&gt;$DA$4),IF($Y34=0,0,(T34-((T34/$Y34)*$BY34))*(1+$DH$2)),AND($W$2=$DB$2,$B35&gt;$DB$4),IF($Y34=0,0,(T34-((T34/$Y34)*$BY34))*(1+$DH$2)),AND($W$2=$DA$2,OR($A35&gt;$DA$3,$A35&gt;$DA$6)),(T34*(1+$DH$1)),AND($W$2=$DB$2,OR($B35&gt;$DB$3,$B35&gt;$DB$6)),(T34*(1+$DH$1)),AND($W$2=$DA$2,$A35&lt;=$DA$3,$A35&lt;=$DA$4,$A35&lt;=$DA$5),(T34*(1+$DH$1))+(T$4),AND($W$2=$DB$2,$B35&lt;=$DB$3,$B35&lt;=$DB$4,$B35&lt;=$DB$5),(T34*(1+$DH$1))+(T$4))</f>
        <v>0</v>
      </c>
      <c r="U35" s="326" cm="1">
        <f t="array" ref="U35">_xlfn.IFS(AND($A35&gt;$DA$6,$B35&gt;$DB$6),0,AND($W$2=$DA$2,$A35&gt;$DA$4),IF($Y34=0,0,(U34-((U34/$Y34)*$BY34))*(1+$DH$2)),AND($W$2=$DB$2,$B35&gt;$DB$4),IF($Y34=0,0,(U34-((U34/$Y34)*$BY34))*(1+$DH$2)),AND($W$2=$DA$2,OR($A35&gt;$DA$3,$A35&gt;$DA$6)),(U34*(1+$DH$1)),AND($W$2=$DB$2,OR($B35&gt;$DB$3,$B35&gt;$DB$6)),(U34*(1+$DH$1)),AND($W$2=$DA$2,$A35&lt;=$DA$3,$A35&lt;=$DA$4,$A35&lt;=$DA$5),(U34*(1+$DH$1))+(U$4),AND($W$2=$DB$2,$B35&lt;=$DB$3,$B35&lt;=$DB$4,$B35&lt;=$DB$5),(U34*(1+$DH$1))+(U$4))</f>
        <v>0</v>
      </c>
      <c r="V35" s="326" cm="1">
        <f t="array" ref="V35">_xlfn.IFS(AND($A35&gt;$DA$6,$B35&gt;$DB$6),0,AND($W$2=$DA$2,$A35&gt;$DA$4),IF($Y34=0,0,(V34-((V34/$Y34)*$BY34))*(1+$DH$2)),AND($W$2=$DB$2,$B35&gt;$DB$4),IF($Y34=0,0,(V34-((V34/$Y34)*$BY34))*(1+$DH$2)),AND($W$2=$DA$2,OR($A35&gt;$DA$3,$A35&gt;$DA$6)),(V34*(1+$DH$1)),AND($W$2=$DB$2,OR($B35&gt;$DB$3,$B35&gt;$DB$6)),(V34*(1+$DH$1)),AND($W$2=$DA$2,$A35&lt;=$DA$3,$A35&lt;=$DA$4,$A35&lt;=$DA$5),(V34*(1+$DH$1))+(V$4),AND($W$2=$DB$2,$B35&lt;=$DB$3,$B35&lt;=$DB$4,$B35&lt;=$DB$5),(V34*(1+$DH$1))+(V$4))</f>
        <v>0</v>
      </c>
      <c r="W35" s="326" cm="1">
        <f t="array" ref="W35">_xlfn.IFS(AND($A35&gt;$DA$6,$B35&gt;$DB$6),0,AND($W$2=$DA$2,$A35&gt;$DA$4),IF($Y34=0,0,(W34-((W34/$Y34)*$BY34))*(1+$DH$2)),AND($W$2=$DB$2,$B35&gt;$DB$4),IF($Y34=0,0,(W34-((W34/$Y34)*$BY34))*(1+$DH$2)),AND($W$2=$DA$2,OR($A35&gt;$DA$3,$A35&gt;$DA$6)),(W34*(1+$DH$1)),AND($W$2=$DB$2,OR($B35&gt;$DB$3,$B35&gt;$DB$6)),(W34*(1+$DH$1)),AND($W$2=$DA$2,$A35&lt;=$DA$3,$A35&lt;=$DA$4,$A35&lt;=$DA$5),(W34*(1+$DH$1))+(W$4),AND($W$2=$DB$2,$B35&lt;=$DB$3,$B35&lt;=$DB$4,$B35&lt;=$DB$5),(W34*(1+$DH$1))+(W$4))</f>
        <v>0</v>
      </c>
      <c r="Y35" s="1">
        <f t="shared" si="18"/>
        <v>0</v>
      </c>
      <c r="Z35" s="2">
        <f t="shared" si="19"/>
        <v>0</v>
      </c>
      <c r="AA35" s="375"/>
      <c r="AC35" s="326" cm="1">
        <f t="array" ref="AC35">_xlfn.IFS(AND(A35&gt;DA$6,B35&gt;DB$6),0,AND(A35&gt;DA$4,B35&gt;DB$4),IF(AG34=0,0,(AC34-((AC34/AG34)*CA34))*(1+DH$2)),OR(A35&gt;DA$3,A35&gt;DA$6),AC34*(1+DH$1),A35&gt;DA$4,(AC34-CA34)*(1+DH$2),AND(A35&lt;=DA$3,A35&lt;=DA$4,A35&lt;=DA$6),(AC34*(1+DH$1))+(AC$4))</f>
        <v>0</v>
      </c>
      <c r="AD35" s="375"/>
      <c r="AE35" s="326" cm="1">
        <f t="array" ref="AE35">_xlfn.IFS(AND(A35&gt;DA$6,B35&gt;DB$6),0,AND(A35&gt;DA$4,B35&gt;DB$4),IF(AG34=0,0,(AE34-((AE34/AG34)*CA34))*(1+DH$2)),OR(B35&gt;DB$3,B35&gt;DB$6),AE34*(1+DH$1),B35&gt;DB$4,(AE34-CA34)*(1+DH$2),AND(B35&lt;=DB$3,B35&lt;=DB$4,B35&lt;=DB$6),(AE34*(1+DH$1))+(AE$4))</f>
        <v>0</v>
      </c>
      <c r="AF35" s="375"/>
      <c r="AG35" s="1">
        <f t="shared" si="5"/>
        <v>0</v>
      </c>
      <c r="AH35" s="2">
        <f t="shared" si="20"/>
        <v>0</v>
      </c>
      <c r="AI35" s="14">
        <f t="shared" si="6"/>
        <v>0</v>
      </c>
      <c r="AK35" s="1">
        <f t="shared" si="21"/>
        <v>0</v>
      </c>
      <c r="AL35" s="14">
        <f t="shared" si="22"/>
        <v>0</v>
      </c>
      <c r="AM35" s="14" t="str">
        <f t="shared" si="23"/>
        <v/>
      </c>
      <c r="AO35" s="15">
        <f t="shared" si="7"/>
        <v>0</v>
      </c>
      <c r="AP35" s="1">
        <f>IF(AND(B35&gt;=$DB$6,A35&gt;=$DA$6),0,AP34*(1+Lookups!C$12))</f>
        <v>0</v>
      </c>
      <c r="AQ35" s="1">
        <f>IF(AND(B35&gt;=$DB$6,A35&gt;=$DA$6),0,AQ34*(1+Lookups!C$12))</f>
        <v>0</v>
      </c>
      <c r="AS35" s="1" cm="1">
        <f t="array" ref="AS35">_xlfn.IFS(OR(AS$6="",AND(A35&gt;=DA$6,B35&gt;=DB$6),AND(A35&lt;DA$4,B35&lt;DB$4)),0,AND(A35=DA$4,DA$4&lt;=DB$4),AS$6,AND(B35=DB$4,DA$4&gt;=DB$4),AS$6,OR(A35&gt;DA$4,B35&gt;DB$4),AS34*(1+Setup!C$103))</f>
        <v>0</v>
      </c>
      <c r="AT35" s="1" cm="1">
        <f t="array" ref="AT35">_xlfn.IFS(OR(AT$6="",AND(A35&gt;=DA$6,B35&gt;=DB$6),AND(A35&lt;DA$4,B35&lt;DB$4)),0,AND(A35=DA$4,DA$4&lt;=DB$4),AT$6,AND(B35=DB$4,DA$4&gt;=DB$4),AT$6,OR(A35&gt;DA$4,B35&gt;DB$4),AT34*(1+Setup!C$103))</f>
        <v>0</v>
      </c>
      <c r="AU35" s="1" cm="1">
        <f t="array" ref="AU35">_xlfn.IFS(OR(AU$6="",AND(A35&gt;=DA$6,B35&gt;=DB$6),AND(A35&lt;DA$4,B35&lt;DB$4)),0,AND(A35=DA$4,DA$4&lt;=DB$4),AU$6,AND(B35=DB$4,DA$4&gt;=DB$4),AU$6,OR(A35&gt;DA$4,B35&gt;DB$4),AU34*(1+Setup!C$103))</f>
        <v>0</v>
      </c>
      <c r="AV35" s="1" cm="1">
        <f t="array" ref="AV35">_xlfn.IFS(OR(AV$6="",AND(A35&gt;=DA$6,B35&gt;=DB$6),AND(A35&lt;DA$4,B35&lt;DB$4)),0,AND(A35=DA$4,DA$4&lt;=DB$4),AV$6,AND(B35=DB$4,DA$4&gt;=DB$4),AV$6,OR(A35&gt;DA$4,B35&gt;DB$4),AV34*(1+Setup!C$103))</f>
        <v>0</v>
      </c>
      <c r="AW35" s="1">
        <f t="shared" si="8"/>
        <v>0</v>
      </c>
      <c r="AY35" s="1" cm="1">
        <f t="array" ref="AY35">_xlfn.IFS(OR(AND(A35&gt;=DA$6,B35&gt;=DB$6),A35&lt;DA$5),0,AND(A35=DA$5,YEAR(C35)&gt;=Lookups!D$89),VLOOKUP(A35,Lookups!B$94:F$102,3),AND(A35=DA$5,YEAR(C35)&lt;Lookups!D$89),VLOOKUP(A35,Lookups!B$94:F$102,2),AND(A35&gt;DA$5,YEAR(C35)=Lookups!D$89),(AY34*Lookups!D$90)*(1+Lookups!C$20),AND(A35&gt;DA$5,YEAR(C35)&lt;&gt;Lookups!D$89),AY34*(1+Lookups!C$20))</f>
        <v>0</v>
      </c>
      <c r="AZ35" s="1" cm="1">
        <f t="array" ref="AZ35">_xlfn.IFS(OR(ISBLANK(Setup!K$91),Setup!K$91=0,AND(A35&gt;=DA$6,B35&gt;=DB$6),B35&lt;DB$5),0,AND(B35=DB$5,YEAR(C35)&gt;=Lookups!D$89),VLOOKUP(B35,Lookups!B$94:F$102,5),AND(B35=DB$5,YEAR(C35)&lt;Lookups!D$89),VLOOKUP(B35,Lookups!B$94:F$102,4),AND(B35&gt;DB$5,YEAR(C35)=Lookups!D$89),(AZ34*Lookups!D$90)*(1+Lookups!C$20),AND(B35&gt;DB$5,YEAR(C35)&lt;&gt;Lookups!D$89),AZ34*(1+Lookups!C$20))</f>
        <v>0</v>
      </c>
      <c r="BA35" s="65">
        <f>IF(OR(AY35&gt;0,AZ35&gt;0),(AY35+AZ35)*Lookups!D$120,0)</f>
        <v>0</v>
      </c>
      <c r="BB35" s="1" cm="1">
        <f t="array" ref="BB35">_xlfn.IFS(AND(A35&lt;DA$4,B35&lt;DB$4),0,OR(_xlfn.XOR(A35&gt;DA$6,B35&gt;DB$6),_xlfn.XOR(A35&gt;=DA$4,B35&gt;=DB$4)),IF(AP35-SUM(AW35,AY35:AZ35)&gt;0,AP35-SUM(AW35,AY35:AZ35),0),AQ35-SUM(AW35,AY35:AZ35)&gt;0, AQ35-SUM(AW35,AY35:AZ35),AQ35-SUM(AW35,AY35:AZ35)&lt;=0,0)</f>
        <v>0</v>
      </c>
      <c r="BD35" s="1" cm="1">
        <f t="array" ref="BD35">_xlfn.IFS(AND(A35&gt;=DA$6,B35&gt;=DB$6),0,AND(A35&gt;=DA$6,B35&gt;=Lookups!C$35),D35/VLOOKUP(B35,Lookups!C$37:D$67,2),A35&lt;Lookups!$C$35,0,A35&gt;=Lookups!C$35,D35/VLOOKUP(A35,Lookups!C$37:D$67,2))</f>
        <v>0</v>
      </c>
      <c r="BE35" s="1" cm="1">
        <f t="array" ref="BE35">_xlfn.IFS(AND(A35&gt;=DA$6,B35&gt;=DB$6),0,AND(B35&gt;=DB$6,A35&gt;=Lookups!C$35),F35/VLOOKUP(A35,Lookups!C$37:D$67,2),B35&lt;Lookups!$C$35,0,B35&gt;=Lookups!C$35,F35/VLOOKUP(B35,Lookups!C$37:D$67,2))</f>
        <v>0</v>
      </c>
      <c r="BF35" s="1" cm="1">
        <f t="array" ref="BF35">_xlfn.IFS($BB35&lt;=0,0,AND(A35&gt;=DA$4,B35&gt;=DB$4,$BB35*I35&lt;(BD35+BE35)),0,AND(A35&gt;=DA$4,B35&gt;=DB$4,H35&gt;=(BB35*I35)-BD35-BE35),(BB35*I35)-BD35-BE35,AND(A35&gt;=DA$4,B35&gt;=DB$4,H35&lt;(BB35*I35)-BD35-BE35),H35,AND(A35&gt;=DA$4,$BB35*I35&lt;(BD35)),0,AND(A35&gt;=DA$4,H35&gt;=(BB35*I35)-BD35),(BB35*I35)-BD35,AND(A35&gt;=DA$4,H35&lt;(BB35*I35)-BD35),H35,AND(B35&gt;=DB$4,$BB35*I35&lt;(BE35)),0,AND(B35&gt;=DB$4,H35&gt;=(BB35*I35)-BE35),(BB35*I35)-BE35,AND(B35&gt;=DB$4,H35&lt;(BB35*I35)-BE35),H35)</f>
        <v>0</v>
      </c>
      <c r="BG35" s="1">
        <f t="shared" si="9"/>
        <v>0</v>
      </c>
      <c r="BH35" s="1" cm="1">
        <f t="array" ref="BH35">_xlfn.IFS(OR(D35=0,A35&lt;DA$4),0,AND(A35&gt;=DA$4,B35&gt;=DB$4,D35&lt;BD35+($BF35*(D35/$H35))+(-$BP35*(D35/$H35))),D35,AND(A35&gt;=DA$4,B35&gt;=DB$4,$BB35&gt;$BG35),BD35+($BF35*(D35/$H35))+(-$BP35*(D35/$H35)),AND(A35&gt;=DA$4,B35&gt;=DB$4,OR(A35&gt;DA$6, B35&gt;DB$6),$AP35-SUM($AW35,$AY35:$AZ35)&lt;0),BD35+($BF35*(D35/$H35))+(-$BP35*(D35/$H35))+(BP35*(D35/$H35)),AND(A35&gt;=DA$4,B35&gt;=DB$4,$AQ35-SUM($AW35,$AY35:$AZ35)&lt;0),BD35+($BF35*(D35/$H35))+(-$BP35*(D35/$H35))+(BP35*(D35/$H35)),AND(A35&gt;=DA$4,D35&lt;BD35+$BF35-$BP35),D35,AND(A35&gt;=DA$4,$AP35-SUM($AW35,$AY35:$AZ35)&lt;0),BD35+($BF35*(D35/$H35))+(-$BP35*(D35/$H35))+(BP35*(D35/$H35)),A35&gt;=DA$4,BD35+$BF35-$BP35)</f>
        <v>0</v>
      </c>
      <c r="BI35" s="1" cm="1">
        <f t="array" ref="BI35">_xlfn.IFS(OR(F35=0,B35&lt;DB$4),0,AND(A35&gt;=DA$4,B35&gt;=DB$4,F35&lt;BE35+($BF35*(F35/$H35))+(-$BP35*(F35/$H35))),F35,AND(A35&gt;=DA$4,B35&gt;=DB$4,$BB35&gt;$BG35),BE35+($BF35*(F35/$H35))+(-$BP35*(F35/$H35)),AND(A35&gt;=DA$4,B35&gt;=DB$4,OR(A35&gt;DA$6, B35&gt;DB$6),$AP35-SUM($AW35,$AY35:$AZ35)&lt;0),BE35+($BF35*(F35/$H35))+(-$BP35*(F35/$H35))+(BP35*(F35/$H35)),AND(A35&gt;=DA$4,B35&gt;=DB$4,$AQ35-SUM($AW35,$AY35:$AZ35)&lt;0),BE35+($BF35*(F35/$H35))+(-$BP35*(F35/$H35))+(BP35*(F35/$H35)),AND(B35&gt;=DB$4,F35&lt;BE35+$BF35-$BP35),F35,AND(B35&gt;=DB$4,$AP35-SUM($AW35,$AY35:$AZ35)&lt;0),BE35+($BF35*(F35/$H35))+(-$BP35*(F35/$H35))+(BP35*(F35/$H35)),B35&gt;=DB$4,BE35+$BF35-$BP35)</f>
        <v>0</v>
      </c>
      <c r="BJ35" s="64" cm="1">
        <f t="array" ref="BJ35">IF(AW35+BA35+BG35&gt;0, AW35+BA35+BG35-_xlfn.IFS(AND(A35&gt;=65,B35&gt;=65),VLOOKUP(Setup!I$4,Lookups!C$133:F$136,4),OR(A35&gt;=65,B35&gt;=65),VLOOKUP(Setup!I$4,Lookups!C$133:E$136,3),AND(A35&lt;65,B35&lt;65),VLOOKUP(Setup!I$4,Lookups!C$133:D$136,2)),0)</f>
        <v>0</v>
      </c>
      <c r="BK35" s="1" cm="1">
        <f t="array" ref="BK35">IF(BJ35&gt;0,_xlfn.IFS(Setup!I$4=Lookups!D$109,-_xlfn.IFS($BJ35&gt;=Lookups!D$157, Lookups!F$157+($BJ35-Lookups!D$157)*Lookups!G$157,$BJ35&gt;=Lookups!D$156, Lookups!F$156+($BJ35-Lookups!D$156)*Lookups!G$156,$BJ35&gt;=Lookups!D$155, Lookups!F$155+($BJ35-Lookups!D$155)*Lookups!G$155,$BJ35&gt;=Lookups!D$154, Lookups!F$154+($BJ35-Lookups!D$154)*Lookups!G$154,$BJ35&gt;=Lookups!D$153, Lookups!F$153+($BJ35-Lookups!D$153)*Lookups!G$153,$BJ35&gt;=Lookups!D$152, Lookups!F$152+($BJ35-Lookups!D$152)*Lookups!G$152,$BJ35&lt;Lookups!D$152,$BJ35*Lookups!G$151),Setup!I$4=Lookups!D$110,-_xlfn.IFS($BJ35&gt;=Lookups!D$167, Lookups!F$167+($BJ35-Lookups!D$167)*Lookups!G$167,$BJ35&gt;=Lookups!D$166, Lookups!F$166+($BJ35-Lookups!D$166)*Lookups!G$166,$BJ35&gt;=Lookups!D$165, Lookups!F$165+($BJ35-Lookups!D$165)*Lookups!G$165,$BJ35&gt;=Lookups!D$164, Lookups!F$164+($BJ35-Lookups!D$164)*Lookups!G$164,$BJ35&gt;=Lookups!D$163, Lookups!F$163+($BJ35-Lookups!D$163)*Lookups!G$163,$BJ35&gt;=Lookups!D$162, Lookups!F$162+($BJ35-Lookups!D$162)*Lookups!G$162,$BJ35&lt;Lookups!D$162,$BJ35*Lookups!G$161),Setup!I$4=Lookups!D$111,-_xlfn.IFS($BJ35&gt;=Lookups!D$177, Lookups!F$177+($BJ35-Lookups!D$177)*Lookups!G$177,$BJ35&gt;=Lookups!D$176, Lookups!F$176+($BJ35-Lookups!D$176)*Lookups!G$176,$BJ35&gt;=Lookups!D$175, Lookups!F$175+($BJ35-Lookups!D$175)*Lookups!G$175,$BJ35&gt;=Lookups!D$174, Lookups!F$174+($BJ35-Lookups!D$174)*Lookups!G$174,$BJ35&gt;=Lookups!D$173, Lookups!F$173+($BJ35-Lookups!D$173)*Lookups!G$173,$BJ35&gt;=Lookups!D$172, Lookups!F$172+($BJ35-Lookups!D$172)*Lookups!G$172,$BJ35&lt;Lookups!D$172,$BJ35*Lookups!G$171), Setup!I$4=Lookups!D$112,-_xlfn.IFS($BJ35&gt;=Lookups!D$187, Lookups!F$187+($BJ35-Lookups!D$187)*Lookups!G$187,$BJ35&gt;=Lookups!D$186, Lookups!F$186+($BJ35-Lookups!D$186)*Lookups!G$186,$BJ35&gt;=Lookups!D$185, Lookups!F$185+($BJ35-Lookups!D$185)*Lookups!G$185,$BJ35&gt;=Lookups!D$184, Lookups!F$184+($BJ35-Lookups!D$184)*Lookups!G$184,$BJ35&gt;=Lookups!D$183, Lookups!F$183+($BJ35-Lookups!D$183)*Lookups!G$183,$BJ35&gt;=Lookups!D$182, Lookups!F$182+($BJ35-Lookups!D$182)*Lookups!G$182,$BJ35&lt;Lookups!D$182,$BJ35*Lookups!G$181)),0)</f>
        <v>0</v>
      </c>
      <c r="BL35" s="18">
        <f t="shared" si="10"/>
        <v>0</v>
      </c>
      <c r="BM35" s="134">
        <f t="shared" si="24"/>
        <v>0</v>
      </c>
      <c r="BN35" s="134" cm="1">
        <f t="array" aca="1" ref="BN35" ca="1">INDIRECT(Setup!I$6&amp;"!"&amp;"A"&amp;ROW())</f>
        <v>0</v>
      </c>
      <c r="BO35" s="134">
        <f t="shared" si="25"/>
        <v>0</v>
      </c>
      <c r="BP35" s="1">
        <f t="shared" si="11"/>
        <v>0</v>
      </c>
      <c r="BQ35" s="1">
        <f t="shared" si="26"/>
        <v>0</v>
      </c>
      <c r="BS35" s="1">
        <f t="shared" si="27"/>
        <v>0</v>
      </c>
      <c r="BT35" s="1" cm="1">
        <f t="array" ref="BT35">-IF(BS35&gt;0,_xlfn.IFS((AW35+BA35+BG35+BS35)&gt;=VLOOKUP(Setup!I$4,Lookups!C$210:E$213,3),BS35*Lookups!D$203,(AW35+BA35+BG35+BS35)&gt;=VLOOKUP(Setup!I$4,Lookups!C$210:E$213,2),BS35*Lookups!D$197,(AW35+BA35+BG35+BS35)&lt;VLOOKUP(Setup!I$4,Lookups!C$210:E$213,2),0),0)</f>
        <v>0</v>
      </c>
      <c r="BU35" s="18">
        <f t="shared" si="28"/>
        <v>0</v>
      </c>
      <c r="BV35" s="1">
        <f t="shared" si="29"/>
        <v>0</v>
      </c>
      <c r="BW35" s="1" cm="1">
        <f t="array" aca="1" ref="BW35" ca="1">INDIRECT(Setup!I$6&amp;"!"&amp;"A"&amp;ROW()+100)</f>
        <v>0</v>
      </c>
      <c r="BX35" s="1">
        <f t="shared" ca="1" si="15"/>
        <v>0</v>
      </c>
      <c r="BY35" s="1">
        <f t="shared" ca="1" si="16"/>
        <v>0</v>
      </c>
      <c r="CA35" s="1">
        <f t="shared" si="34"/>
        <v>0</v>
      </c>
      <c r="CC35" s="1" cm="1">
        <f t="array" ref="CC35">_xlfn.IFS(AND(A35&lt;$DA$4,B35&lt;$DB$4),0,AND(AND(A35&gt;=$DA$4,B35&gt;=$DB$4),AND(A35&lt;=$DA$6,B35&lt;=$DB$6),AND(BH35=0,BI35=0)),SUM(AW35,AY35:AZ35,BD35:BF35,BP35,BS35,CA35)-AQ35,AND(AND(A35&gt;=$DA$4,B35&gt;=$DB$4),AND(A35&lt;=$DA$6,B35&lt;=$DB$6)),SUM(AW35,AY35:AZ35,BD35:BF35,BS35,CA35)-AQ35,AND(OR(A35&gt;=$DA$4,B35&gt;=$DB$4),AND(BH35=0,BI35=0)),SUM(AW35,AY35:AZ35,BD35:BF35,BP35,BS35,CA35)-AP35,OR(A35&gt;=$DA$4,B35&gt;=$DB$4),SUM(AW35,AY35:AZ35,BD35:BF35,BS35,CA35)-AP35)</f>
        <v>0</v>
      </c>
      <c r="CD35" s="142" t="str">
        <f t="shared" si="30"/>
        <v/>
      </c>
    </row>
    <row r="36" spans="1:82" x14ac:dyDescent="0.3">
      <c r="A36" s="354">
        <f t="shared" si="31"/>
        <v>29</v>
      </c>
      <c r="B36" s="354">
        <f t="shared" si="32"/>
        <v>29</v>
      </c>
      <c r="C36" s="359">
        <f t="shared" si="33"/>
        <v>10594</v>
      </c>
      <c r="D36" s="326" cm="1">
        <f t="array" ref="D36">_xlfn.IFS(AND(A36&gt;DA$6,B36&gt;DB$6),0,AND(A36&gt;DA$3,A36&lt;=DA$4),D35*(1+DH$1),OR(A36&gt;DA$6,A36&gt;DA$4),(D35-BH35)*(1+DH$2),A36&lt;=DA$4,(D35*(1+DH$1))+(D$4))</f>
        <v>0</v>
      </c>
      <c r="E36" s="375"/>
      <c r="F36" s="326" cm="1">
        <f t="array" ref="F36">_xlfn.IFS(AND(A36&gt;DA$6,B36&gt;DB$6),0,AND(B36&gt;DB$3,B36&lt;=DB$4),F35*(1+DH$1),OR(B36&gt;DB$6,B36&gt;DB$4),(F35-BI35)*(1+DH$2),B36&lt;=DB$4,(F35*(1+DH$1))+(F$4))</f>
        <v>0</v>
      </c>
      <c r="G36" s="375"/>
      <c r="H36" s="1">
        <f t="shared" si="17"/>
        <v>0</v>
      </c>
      <c r="I36" s="2">
        <f t="shared" si="2"/>
        <v>0</v>
      </c>
      <c r="J36" s="14">
        <f t="shared" si="35"/>
        <v>0</v>
      </c>
      <c r="L36" s="402" cm="1">
        <f t="array" ref="L36">_xlfn.IFS(AND(A36&gt;DA$6,B36&gt;DB$6),0,A36&lt;DA$6,0,A36=DA$6,L$4,AND(A36&gt;DA$6,B36&lt;=DB$4),L35*(1+DH$1),AND(A36&gt;DA$6,B36&gt;DB$4),IF(Y35=0,0,(L35-((L35/Y35)*BY35))*(1+DH$2)))</f>
        <v>0</v>
      </c>
      <c r="M36" s="402" cm="1">
        <f t="array" ref="M36">_xlfn.IFS(AND(A36&gt;DA$6,B36&gt;DB$6),0,B36&lt;DB$6,0,B36=DB$6,M$4,AND(B36&gt;DB$6,A36&lt;=DA$4),M35*(1+DH$1),AND(A36&gt;DA$4,B36&gt;DB$6),IF(Y35=0,0,(M35-((M35/Y35)*BY35))*(1+DH$2)))</f>
        <v>0</v>
      </c>
      <c r="N36" s="327"/>
      <c r="O36" s="327" cm="1">
        <f t="array" ref="O36">_xlfn.IFS(OR(ISBLANK(Setup!C$63),Setup!C$63&gt;YEAR(C36),AND(A36&gt;DA$6,B36&gt;DB$6),ISBLANK(Y35)),0,Setup!C$63=YEAR(C36),Setup!C$62,AND(OR(A36&lt;=DA$4,B36&lt;=DB$4),Setup!C$63&lt;YEAR(C36)),O35*(1+DH$1),AND(A36&gt;DA$4,B36&gt;DB$4,Setup!C$63&lt;YEAR(C36)),IF(Y35=0,0,(O35-((O35/Y35)*BY35))*(1+DH$2)))</f>
        <v>0</v>
      </c>
      <c r="P36" s="327" cm="1">
        <f t="array" ref="P36">_xlfn.IFS(OR(ISBLANK(Setup!C$67),Setup!C$67&gt;YEAR(C36),AND(A36&gt;DA$6,B36&gt;DB$6)),0,Setup!C$67=YEAR(C36),Setup!C$66,AND(OR(A36&lt;=DA$4,B36&lt;=DB$4),Setup!C$67&lt;YEAR(C36)),P35*(1+DH$1),AND(A36&gt;DA$4,B36&gt;DB$4,Setup!C$67&lt;YEAR(C36)),IF(Y35=0,0,(P35-((P35/Y35)*BY35))*(1+DH$2)))</f>
        <v>0</v>
      </c>
      <c r="Q36" s="327" cm="1">
        <f t="array" ref="Q36">_xlfn.IFS(OR(ISBLANK(Setup!C$71),Setup!C$71&gt;YEAR(C36),AND(A36&gt;DA$6,B36&gt;DB$6)),0,Setup!C$71=YEAR(C36),Setup!C$70,AND(OR(A36&lt;=DA$4,B36&lt;=DB$4),Setup!C$71&lt;YEAR(C36)),Q35*(1+DH$1),AND(A36&gt;DA$4,B36&gt;DB$4,Setup!C$71&lt;YEAR(C36)),IF(Y35=0,0,(Q35-((Q35/Y35)*BY35))*(1+DH$2)))</f>
        <v>0</v>
      </c>
      <c r="R36" s="327" cm="1">
        <f t="array" ref="R36">_xlfn.IFS(OR(ISBLANK(Setup!C$75),Setup!C$75&gt;YEAR(C36),AND(A36&gt;DA$6,B36&gt;DB$6)),0,Setup!C$75=YEAR(C36),Setup!C$74,AND(OR(A36&lt;=DA$4,B36&lt;=DB$4),Setup!C$75&lt;YEAR(C36)),R35*(1+DH$1),AND(A36&gt;DA$4,B36&gt;DB$4,Setup!C$75&lt;YEAR(C36)),IF(Y35=0,0,(R35-((R35/Y35)*BY35))*(1+DH$2)))</f>
        <v>0</v>
      </c>
      <c r="S36" s="327"/>
      <c r="T36" s="326" cm="1">
        <f t="array" ref="T36">_xlfn.IFS(AND($A36&gt;$DA$6,$B36&gt;$DB$6),0,AND($W$2=$DA$2,$A36&gt;$DA$4),IF($Y35=0,0,(T35-((T35/$Y35)*$BY35))*(1+$DH$2)),AND($W$2=$DB$2,$B36&gt;$DB$4),IF($Y35=0,0,(T35-((T35/$Y35)*$BY35))*(1+$DH$2)),AND($W$2=$DA$2,OR($A36&gt;$DA$3,$A36&gt;$DA$6)),(T35*(1+$DH$1)),AND($W$2=$DB$2,OR($B36&gt;$DB$3,$B36&gt;$DB$6)),(T35*(1+$DH$1)),AND($W$2=$DA$2,$A36&lt;=$DA$3,$A36&lt;=$DA$4,$A36&lt;=$DA$5),(T35*(1+$DH$1))+(T$4),AND($W$2=$DB$2,$B36&lt;=$DB$3,$B36&lt;=$DB$4,$B36&lt;=$DB$5),(T35*(1+$DH$1))+(T$4))</f>
        <v>0</v>
      </c>
      <c r="U36" s="326" cm="1">
        <f t="array" ref="U36">_xlfn.IFS(AND($A36&gt;$DA$6,$B36&gt;$DB$6),0,AND($W$2=$DA$2,$A36&gt;$DA$4),IF($Y35=0,0,(U35-((U35/$Y35)*$BY35))*(1+$DH$2)),AND($W$2=$DB$2,$B36&gt;$DB$4),IF($Y35=0,0,(U35-((U35/$Y35)*$BY35))*(1+$DH$2)),AND($W$2=$DA$2,OR($A36&gt;$DA$3,$A36&gt;$DA$6)),(U35*(1+$DH$1)),AND($W$2=$DB$2,OR($B36&gt;$DB$3,$B36&gt;$DB$6)),(U35*(1+$DH$1)),AND($W$2=$DA$2,$A36&lt;=$DA$3,$A36&lt;=$DA$4,$A36&lt;=$DA$5),(U35*(1+$DH$1))+(U$4),AND($W$2=$DB$2,$B36&lt;=$DB$3,$B36&lt;=$DB$4,$B36&lt;=$DB$5),(U35*(1+$DH$1))+(U$4))</f>
        <v>0</v>
      </c>
      <c r="V36" s="326" cm="1">
        <f t="array" ref="V36">_xlfn.IFS(AND($A36&gt;$DA$6,$B36&gt;$DB$6),0,AND($W$2=$DA$2,$A36&gt;$DA$4),IF($Y35=0,0,(V35-((V35/$Y35)*$BY35))*(1+$DH$2)),AND($W$2=$DB$2,$B36&gt;$DB$4),IF($Y35=0,0,(V35-((V35/$Y35)*$BY35))*(1+$DH$2)),AND($W$2=$DA$2,OR($A36&gt;$DA$3,$A36&gt;$DA$6)),(V35*(1+$DH$1)),AND($W$2=$DB$2,OR($B36&gt;$DB$3,$B36&gt;$DB$6)),(V35*(1+$DH$1)),AND($W$2=$DA$2,$A36&lt;=$DA$3,$A36&lt;=$DA$4,$A36&lt;=$DA$5),(V35*(1+$DH$1))+(V$4),AND($W$2=$DB$2,$B36&lt;=$DB$3,$B36&lt;=$DB$4,$B36&lt;=$DB$5),(V35*(1+$DH$1))+(V$4))</f>
        <v>0</v>
      </c>
      <c r="W36" s="326" cm="1">
        <f t="array" ref="W36">_xlfn.IFS(AND($A36&gt;$DA$6,$B36&gt;$DB$6),0,AND($W$2=$DA$2,$A36&gt;$DA$4),IF($Y35=0,0,(W35-((W35/$Y35)*$BY35))*(1+$DH$2)),AND($W$2=$DB$2,$B36&gt;$DB$4),IF($Y35=0,0,(W35-((W35/$Y35)*$BY35))*(1+$DH$2)),AND($W$2=$DA$2,OR($A36&gt;$DA$3,$A36&gt;$DA$6)),(W35*(1+$DH$1)),AND($W$2=$DB$2,OR($B36&gt;$DB$3,$B36&gt;$DB$6)),(W35*(1+$DH$1)),AND($W$2=$DA$2,$A36&lt;=$DA$3,$A36&lt;=$DA$4,$A36&lt;=$DA$5),(W35*(1+$DH$1))+(W$4),AND($W$2=$DB$2,$B36&lt;=$DB$3,$B36&lt;=$DB$4,$B36&lt;=$DB$5),(W35*(1+$DH$1))+(W$4))</f>
        <v>0</v>
      </c>
      <c r="Y36" s="1">
        <f t="shared" si="18"/>
        <v>0</v>
      </c>
      <c r="Z36" s="2">
        <f t="shared" si="19"/>
        <v>0</v>
      </c>
      <c r="AA36" s="375"/>
      <c r="AC36" s="326" cm="1">
        <f t="array" ref="AC36">_xlfn.IFS(AND(A36&gt;DA$6,B36&gt;DB$6),0,AND(A36&gt;DA$4,B36&gt;DB$4),IF(AG35=0,0,(AC35-((AC35/AG35)*CA35))*(1+DH$2)),OR(A36&gt;DA$3,A36&gt;DA$6),AC35*(1+DH$1),A36&gt;DA$4,(AC35-CA35)*(1+DH$2),AND(A36&lt;=DA$3,A36&lt;=DA$4,A36&lt;=DA$6),(AC35*(1+DH$1))+(AC$4))</f>
        <v>0</v>
      </c>
      <c r="AD36" s="375"/>
      <c r="AE36" s="326" cm="1">
        <f t="array" ref="AE36">_xlfn.IFS(AND(A36&gt;DA$6,B36&gt;DB$6),0,AND(A36&gt;DA$4,B36&gt;DB$4),IF(AG35=0,0,(AE35-((AE35/AG35)*CA35))*(1+DH$2)),OR(B36&gt;DB$3,B36&gt;DB$6),AE35*(1+DH$1),B36&gt;DB$4,(AE35-CA35)*(1+DH$2),AND(B36&lt;=DB$3,B36&lt;=DB$4,B36&lt;=DB$6),(AE35*(1+DH$1))+(AE$4))</f>
        <v>0</v>
      </c>
      <c r="AF36" s="375"/>
      <c r="AG36" s="1">
        <f t="shared" si="5"/>
        <v>0</v>
      </c>
      <c r="AH36" s="2">
        <f t="shared" si="20"/>
        <v>0</v>
      </c>
      <c r="AI36" s="14">
        <f t="shared" si="6"/>
        <v>0</v>
      </c>
      <c r="AK36" s="1">
        <f t="shared" si="21"/>
        <v>0</v>
      </c>
      <c r="AL36" s="14">
        <f t="shared" si="22"/>
        <v>0</v>
      </c>
      <c r="AM36" s="14" t="str">
        <f t="shared" si="23"/>
        <v/>
      </c>
      <c r="AO36" s="15">
        <f t="shared" si="7"/>
        <v>0</v>
      </c>
      <c r="AP36" s="1">
        <f>IF(AND(B36&gt;=$DB$6,A36&gt;=$DA$6),0,AP35*(1+Lookups!C$12))</f>
        <v>0</v>
      </c>
      <c r="AQ36" s="1">
        <f>IF(AND(B36&gt;=$DB$6,A36&gt;=$DA$6),0,AQ35*(1+Lookups!C$12))</f>
        <v>0</v>
      </c>
      <c r="AS36" s="1" cm="1">
        <f t="array" ref="AS36">_xlfn.IFS(OR(AS$6="",AND(A36&gt;=DA$6,B36&gt;=DB$6),AND(A36&lt;DA$4,B36&lt;DB$4)),0,AND(A36=DA$4,DA$4&lt;=DB$4),AS$6,AND(B36=DB$4,DA$4&gt;=DB$4),AS$6,OR(A36&gt;DA$4,B36&gt;DB$4),AS35*(1+Setup!C$103))</f>
        <v>0</v>
      </c>
      <c r="AT36" s="1" cm="1">
        <f t="array" ref="AT36">_xlfn.IFS(OR(AT$6="",AND(A36&gt;=DA$6,B36&gt;=DB$6),AND(A36&lt;DA$4,B36&lt;DB$4)),0,AND(A36=DA$4,DA$4&lt;=DB$4),AT$6,AND(B36=DB$4,DA$4&gt;=DB$4),AT$6,OR(A36&gt;DA$4,B36&gt;DB$4),AT35*(1+Setup!C$103))</f>
        <v>0</v>
      </c>
      <c r="AU36" s="1" cm="1">
        <f t="array" ref="AU36">_xlfn.IFS(OR(AU$6="",AND(A36&gt;=DA$6,B36&gt;=DB$6),AND(A36&lt;DA$4,B36&lt;DB$4)),0,AND(A36=DA$4,DA$4&lt;=DB$4),AU$6,AND(B36=DB$4,DA$4&gt;=DB$4),AU$6,OR(A36&gt;DA$4,B36&gt;DB$4),AU35*(1+Setup!C$103))</f>
        <v>0</v>
      </c>
      <c r="AV36" s="1" cm="1">
        <f t="array" ref="AV36">_xlfn.IFS(OR(AV$6="",AND(A36&gt;=DA$6,B36&gt;=DB$6),AND(A36&lt;DA$4,B36&lt;DB$4)),0,AND(A36=DA$4,DA$4&lt;=DB$4),AV$6,AND(B36=DB$4,DA$4&gt;=DB$4),AV$6,OR(A36&gt;DA$4,B36&gt;DB$4),AV35*(1+Setup!C$103))</f>
        <v>0</v>
      </c>
      <c r="AW36" s="1">
        <f t="shared" si="8"/>
        <v>0</v>
      </c>
      <c r="AY36" s="1" cm="1">
        <f t="array" ref="AY36">_xlfn.IFS(OR(AND(A36&gt;=DA$6,B36&gt;=DB$6),A36&lt;DA$5),0,AND(A36=DA$5,YEAR(C36)&gt;=Lookups!D$89),VLOOKUP(A36,Lookups!B$94:F$102,3),AND(A36=DA$5,YEAR(C36)&lt;Lookups!D$89),VLOOKUP(A36,Lookups!B$94:F$102,2),AND(A36&gt;DA$5,YEAR(C36)=Lookups!D$89),(AY35*Lookups!D$90)*(1+Lookups!C$20),AND(A36&gt;DA$5,YEAR(C36)&lt;&gt;Lookups!D$89),AY35*(1+Lookups!C$20))</f>
        <v>0</v>
      </c>
      <c r="AZ36" s="1" cm="1">
        <f t="array" ref="AZ36">_xlfn.IFS(OR(ISBLANK(Setup!K$91),Setup!K$91=0,AND(A36&gt;=DA$6,B36&gt;=DB$6),B36&lt;DB$5),0,AND(B36=DB$5,YEAR(C36)&gt;=Lookups!D$89),VLOOKUP(B36,Lookups!B$94:F$102,5),AND(B36=DB$5,YEAR(C36)&lt;Lookups!D$89),VLOOKUP(B36,Lookups!B$94:F$102,4),AND(B36&gt;DB$5,YEAR(C36)=Lookups!D$89),(AZ35*Lookups!D$90)*(1+Lookups!C$20),AND(B36&gt;DB$5,YEAR(C36)&lt;&gt;Lookups!D$89),AZ35*(1+Lookups!C$20))</f>
        <v>0</v>
      </c>
      <c r="BA36" s="65">
        <f>IF(OR(AY36&gt;0,AZ36&gt;0),(AY36+AZ36)*Lookups!D$120,0)</f>
        <v>0</v>
      </c>
      <c r="BB36" s="1" cm="1">
        <f t="array" ref="BB36">_xlfn.IFS(AND(A36&lt;DA$4,B36&lt;DB$4),0,OR(_xlfn.XOR(A36&gt;DA$6,B36&gt;DB$6),_xlfn.XOR(A36&gt;=DA$4,B36&gt;=DB$4)),IF(AP36-SUM(AW36,AY36:AZ36)&gt;0,AP36-SUM(AW36,AY36:AZ36),0),AQ36-SUM(AW36,AY36:AZ36)&gt;0, AQ36-SUM(AW36,AY36:AZ36),AQ36-SUM(AW36,AY36:AZ36)&lt;=0,0)</f>
        <v>0</v>
      </c>
      <c r="BD36" s="1" cm="1">
        <f t="array" ref="BD36">_xlfn.IFS(AND(A36&gt;=DA$6,B36&gt;=DB$6),0,AND(A36&gt;=DA$6,B36&gt;=Lookups!C$35),D36/VLOOKUP(B36,Lookups!C$37:D$67,2),A36&lt;Lookups!$C$35,0,A36&gt;=Lookups!C$35,D36/VLOOKUP(A36,Lookups!C$37:D$67,2))</f>
        <v>0</v>
      </c>
      <c r="BE36" s="1" cm="1">
        <f t="array" ref="BE36">_xlfn.IFS(AND(A36&gt;=DA$6,B36&gt;=DB$6),0,AND(B36&gt;=DB$6,A36&gt;=Lookups!C$35),F36/VLOOKUP(A36,Lookups!C$37:D$67,2),B36&lt;Lookups!$C$35,0,B36&gt;=Lookups!C$35,F36/VLOOKUP(B36,Lookups!C$37:D$67,2))</f>
        <v>0</v>
      </c>
      <c r="BF36" s="1" cm="1">
        <f t="array" ref="BF36">_xlfn.IFS($BB36&lt;=0,0,AND(A36&gt;=DA$4,B36&gt;=DB$4,$BB36*I36&lt;(BD36+BE36)),0,AND(A36&gt;=DA$4,B36&gt;=DB$4,H36&gt;=(BB36*I36)-BD36-BE36),(BB36*I36)-BD36-BE36,AND(A36&gt;=DA$4,B36&gt;=DB$4,H36&lt;(BB36*I36)-BD36-BE36),H36,AND(A36&gt;=DA$4,$BB36*I36&lt;(BD36)),0,AND(A36&gt;=DA$4,H36&gt;=(BB36*I36)-BD36),(BB36*I36)-BD36,AND(A36&gt;=DA$4,H36&lt;(BB36*I36)-BD36),H36,AND(B36&gt;=DB$4,$BB36*I36&lt;(BE36)),0,AND(B36&gt;=DB$4,H36&gt;=(BB36*I36)-BE36),(BB36*I36)-BE36,AND(B36&gt;=DB$4,H36&lt;(BB36*I36)-BE36),H36)</f>
        <v>0</v>
      </c>
      <c r="BG36" s="1">
        <f t="shared" si="9"/>
        <v>0</v>
      </c>
      <c r="BH36" s="1" cm="1">
        <f t="array" ref="BH36">_xlfn.IFS(OR(D36=0,A36&lt;DA$4),0,AND(A36&gt;=DA$4,B36&gt;=DB$4,D36&lt;BD36+($BF36*(D36/$H36))+(-$BP36*(D36/$H36))),D36,AND(A36&gt;=DA$4,B36&gt;=DB$4,$BB36&gt;$BG36),BD36+($BF36*(D36/$H36))+(-$BP36*(D36/$H36)),AND(A36&gt;=DA$4,B36&gt;=DB$4,OR(A36&gt;DA$6, B36&gt;DB$6),$AP36-SUM($AW36,$AY36:$AZ36)&lt;0),BD36+($BF36*(D36/$H36))+(-$BP36*(D36/$H36))+(BP36*(D36/$H36)),AND(A36&gt;=DA$4,B36&gt;=DB$4,$AQ36-SUM($AW36,$AY36:$AZ36)&lt;0),BD36+($BF36*(D36/$H36))+(-$BP36*(D36/$H36))+(BP36*(D36/$H36)),AND(A36&gt;=DA$4,D36&lt;BD36+$BF36-$BP36),D36,AND(A36&gt;=DA$4,$AP36-SUM($AW36,$AY36:$AZ36)&lt;0),BD36+($BF36*(D36/$H36))+(-$BP36*(D36/$H36))+(BP36*(D36/$H36)),A36&gt;=DA$4,BD36+$BF36-$BP36)</f>
        <v>0</v>
      </c>
      <c r="BI36" s="1" cm="1">
        <f t="array" ref="BI36">_xlfn.IFS(OR(F36=0,B36&lt;DB$4),0,AND(A36&gt;=DA$4,B36&gt;=DB$4,F36&lt;BE36+($BF36*(F36/$H36))+(-$BP36*(F36/$H36))),F36,AND(A36&gt;=DA$4,B36&gt;=DB$4,$BB36&gt;$BG36),BE36+($BF36*(F36/$H36))+(-$BP36*(F36/$H36)),AND(A36&gt;=DA$4,B36&gt;=DB$4,OR(A36&gt;DA$6, B36&gt;DB$6),$AP36-SUM($AW36,$AY36:$AZ36)&lt;0),BE36+($BF36*(F36/$H36))+(-$BP36*(F36/$H36))+(BP36*(F36/$H36)),AND(A36&gt;=DA$4,B36&gt;=DB$4,$AQ36-SUM($AW36,$AY36:$AZ36)&lt;0),BE36+($BF36*(F36/$H36))+(-$BP36*(F36/$H36))+(BP36*(F36/$H36)),AND(B36&gt;=DB$4,F36&lt;BE36+$BF36-$BP36),F36,AND(B36&gt;=DB$4,$AP36-SUM($AW36,$AY36:$AZ36)&lt;0),BE36+($BF36*(F36/$H36))+(-$BP36*(F36/$H36))+(BP36*(F36/$H36)),B36&gt;=DB$4,BE36+$BF36-$BP36)</f>
        <v>0</v>
      </c>
      <c r="BJ36" s="64" cm="1">
        <f t="array" ref="BJ36">IF(AW36+BA36+BG36&gt;0, AW36+BA36+BG36-_xlfn.IFS(AND(A36&gt;=65,B36&gt;=65),VLOOKUP(Setup!I$4,Lookups!C$133:F$136,4),OR(A36&gt;=65,B36&gt;=65),VLOOKUP(Setup!I$4,Lookups!C$133:E$136,3),AND(A36&lt;65,B36&lt;65),VLOOKUP(Setup!I$4,Lookups!C$133:D$136,2)),0)</f>
        <v>0</v>
      </c>
      <c r="BK36" s="1" cm="1">
        <f t="array" ref="BK36">IF(BJ36&gt;0,_xlfn.IFS(Setup!I$4=Lookups!D$109,-_xlfn.IFS($BJ36&gt;=Lookups!D$157, Lookups!F$157+($BJ36-Lookups!D$157)*Lookups!G$157,$BJ36&gt;=Lookups!D$156, Lookups!F$156+($BJ36-Lookups!D$156)*Lookups!G$156,$BJ36&gt;=Lookups!D$155, Lookups!F$155+($BJ36-Lookups!D$155)*Lookups!G$155,$BJ36&gt;=Lookups!D$154, Lookups!F$154+($BJ36-Lookups!D$154)*Lookups!G$154,$BJ36&gt;=Lookups!D$153, Lookups!F$153+($BJ36-Lookups!D$153)*Lookups!G$153,$BJ36&gt;=Lookups!D$152, Lookups!F$152+($BJ36-Lookups!D$152)*Lookups!G$152,$BJ36&lt;Lookups!D$152,$BJ36*Lookups!G$151),Setup!I$4=Lookups!D$110,-_xlfn.IFS($BJ36&gt;=Lookups!D$167, Lookups!F$167+($BJ36-Lookups!D$167)*Lookups!G$167,$BJ36&gt;=Lookups!D$166, Lookups!F$166+($BJ36-Lookups!D$166)*Lookups!G$166,$BJ36&gt;=Lookups!D$165, Lookups!F$165+($BJ36-Lookups!D$165)*Lookups!G$165,$BJ36&gt;=Lookups!D$164, Lookups!F$164+($BJ36-Lookups!D$164)*Lookups!G$164,$BJ36&gt;=Lookups!D$163, Lookups!F$163+($BJ36-Lookups!D$163)*Lookups!G$163,$BJ36&gt;=Lookups!D$162, Lookups!F$162+($BJ36-Lookups!D$162)*Lookups!G$162,$BJ36&lt;Lookups!D$162,$BJ36*Lookups!G$161),Setup!I$4=Lookups!D$111,-_xlfn.IFS($BJ36&gt;=Lookups!D$177, Lookups!F$177+($BJ36-Lookups!D$177)*Lookups!G$177,$BJ36&gt;=Lookups!D$176, Lookups!F$176+($BJ36-Lookups!D$176)*Lookups!G$176,$BJ36&gt;=Lookups!D$175, Lookups!F$175+($BJ36-Lookups!D$175)*Lookups!G$175,$BJ36&gt;=Lookups!D$174, Lookups!F$174+($BJ36-Lookups!D$174)*Lookups!G$174,$BJ36&gt;=Lookups!D$173, Lookups!F$173+($BJ36-Lookups!D$173)*Lookups!G$173,$BJ36&gt;=Lookups!D$172, Lookups!F$172+($BJ36-Lookups!D$172)*Lookups!G$172,$BJ36&lt;Lookups!D$172,$BJ36*Lookups!G$171), Setup!I$4=Lookups!D$112,-_xlfn.IFS($BJ36&gt;=Lookups!D$187, Lookups!F$187+($BJ36-Lookups!D$187)*Lookups!G$187,$BJ36&gt;=Lookups!D$186, Lookups!F$186+($BJ36-Lookups!D$186)*Lookups!G$186,$BJ36&gt;=Lookups!D$185, Lookups!F$185+($BJ36-Lookups!D$185)*Lookups!G$185,$BJ36&gt;=Lookups!D$184, Lookups!F$184+($BJ36-Lookups!D$184)*Lookups!G$184,$BJ36&gt;=Lookups!D$183, Lookups!F$183+($BJ36-Lookups!D$183)*Lookups!G$183,$BJ36&gt;=Lookups!D$182, Lookups!F$182+($BJ36-Lookups!D$182)*Lookups!G$182,$BJ36&lt;Lookups!D$182,$BJ36*Lookups!G$181)),0)</f>
        <v>0</v>
      </c>
      <c r="BL36" s="18">
        <f t="shared" si="10"/>
        <v>0</v>
      </c>
      <c r="BM36" s="134">
        <f t="shared" si="24"/>
        <v>0</v>
      </c>
      <c r="BN36" s="134" cm="1">
        <f t="array" aca="1" ref="BN36" ca="1">INDIRECT(Setup!I$6&amp;"!"&amp;"A"&amp;ROW())</f>
        <v>0</v>
      </c>
      <c r="BO36" s="134">
        <f t="shared" si="25"/>
        <v>0</v>
      </c>
      <c r="BP36" s="1">
        <f t="shared" si="11"/>
        <v>0</v>
      </c>
      <c r="BQ36" s="1">
        <f t="shared" si="26"/>
        <v>0</v>
      </c>
      <c r="BS36" s="1">
        <f t="shared" si="27"/>
        <v>0</v>
      </c>
      <c r="BT36" s="1" cm="1">
        <f t="array" ref="BT36">-IF(BS36&gt;0,_xlfn.IFS((AW36+BA36+BG36+BS36)&gt;=VLOOKUP(Setup!I$4,Lookups!C$210:E$213,3),BS36*Lookups!D$203,(AW36+BA36+BG36+BS36)&gt;=VLOOKUP(Setup!I$4,Lookups!C$210:E$213,2),BS36*Lookups!D$197,(AW36+BA36+BG36+BS36)&lt;VLOOKUP(Setup!I$4,Lookups!C$210:E$213,2),0),0)</f>
        <v>0</v>
      </c>
      <c r="BU36" s="18">
        <f t="shared" si="28"/>
        <v>0</v>
      </c>
      <c r="BV36" s="1">
        <f t="shared" si="29"/>
        <v>0</v>
      </c>
      <c r="BW36" s="1" cm="1">
        <f t="array" aca="1" ref="BW36" ca="1">INDIRECT(Setup!I$6&amp;"!"&amp;"A"&amp;ROW()+100)</f>
        <v>0</v>
      </c>
      <c r="BX36" s="1">
        <f t="shared" ca="1" si="15"/>
        <v>0</v>
      </c>
      <c r="BY36" s="1">
        <f t="shared" ca="1" si="16"/>
        <v>0</v>
      </c>
      <c r="CA36" s="1">
        <f t="shared" si="34"/>
        <v>0</v>
      </c>
      <c r="CC36" s="1" cm="1">
        <f t="array" ref="CC36">_xlfn.IFS(AND(A36&lt;$DA$4,B36&lt;$DB$4),0,AND(AND(A36&gt;=$DA$4,B36&gt;=$DB$4),AND(A36&lt;=$DA$6,B36&lt;=$DB$6),AND(BH36=0,BI36=0)),SUM(AW36,AY36:AZ36,BD36:BF36,BP36,BS36,CA36)-AQ36,AND(AND(A36&gt;=$DA$4,B36&gt;=$DB$4),AND(A36&lt;=$DA$6,B36&lt;=$DB$6)),SUM(AW36,AY36:AZ36,BD36:BF36,BS36,CA36)-AQ36,AND(OR(A36&gt;=$DA$4,B36&gt;=$DB$4),AND(BH36=0,BI36=0)),SUM(AW36,AY36:AZ36,BD36:BF36,BP36,BS36,CA36)-AP36,OR(A36&gt;=$DA$4,B36&gt;=$DB$4),SUM(AW36,AY36:AZ36,BD36:BF36,BS36,CA36)-AP36)</f>
        <v>0</v>
      </c>
      <c r="CD36" s="142" t="str">
        <f t="shared" si="30"/>
        <v/>
      </c>
    </row>
    <row r="37" spans="1:82" x14ac:dyDescent="0.3">
      <c r="A37" s="354">
        <f t="shared" si="31"/>
        <v>30</v>
      </c>
      <c r="B37" s="354">
        <f t="shared" si="32"/>
        <v>30</v>
      </c>
      <c r="C37" s="359">
        <f t="shared" si="33"/>
        <v>10959</v>
      </c>
      <c r="D37" s="326" cm="1">
        <f t="array" ref="D37">_xlfn.IFS(AND(A37&gt;DA$6,B37&gt;DB$6),0,AND(A37&gt;DA$3,A37&lt;=DA$4),D36*(1+DH$1),OR(A37&gt;DA$6,A37&gt;DA$4),(D36-BH36)*(1+DH$2),A37&lt;=DA$4,(D36*(1+DH$1))+(D$4))</f>
        <v>0</v>
      </c>
      <c r="E37" s="375"/>
      <c r="F37" s="326" cm="1">
        <f t="array" ref="F37">_xlfn.IFS(AND(A37&gt;DA$6,B37&gt;DB$6),0,AND(B37&gt;DB$3,B37&lt;=DB$4),F36*(1+DH$1),OR(B37&gt;DB$6,B37&gt;DB$4),(F36-BI36)*(1+DH$2),B37&lt;=DB$4,(F36*(1+DH$1))+(F$4))</f>
        <v>0</v>
      </c>
      <c r="G37" s="375"/>
      <c r="H37" s="1">
        <f t="shared" si="17"/>
        <v>0</v>
      </c>
      <c r="I37" s="2">
        <f t="shared" si="2"/>
        <v>0</v>
      </c>
      <c r="J37" s="14">
        <f t="shared" si="35"/>
        <v>0</v>
      </c>
      <c r="L37" s="402" cm="1">
        <f t="array" ref="L37">_xlfn.IFS(AND(A37&gt;DA$6,B37&gt;DB$6),0,A37&lt;DA$6,0,A37=DA$6,L$4,AND(A37&gt;DA$6,B37&lt;=DB$4),L36*(1+DH$1),AND(A37&gt;DA$6,B37&gt;DB$4),IF(Y36=0,0,(L36-((L36/Y36)*BY36))*(1+DH$2)))</f>
        <v>0</v>
      </c>
      <c r="M37" s="402" cm="1">
        <f t="array" ref="M37">_xlfn.IFS(AND(A37&gt;DA$6,B37&gt;DB$6),0,B37&lt;DB$6,0,B37=DB$6,M$4,AND(B37&gt;DB$6,A37&lt;=DA$4),M36*(1+DH$1),AND(A37&gt;DA$4,B37&gt;DB$6),IF(Y36=0,0,(M36-((M36/Y36)*BY36))*(1+DH$2)))</f>
        <v>0</v>
      </c>
      <c r="N37" s="327"/>
      <c r="O37" s="327" cm="1">
        <f t="array" ref="O37">_xlfn.IFS(OR(ISBLANK(Setup!C$63),Setup!C$63&gt;YEAR(C37),AND(A37&gt;DA$6,B37&gt;DB$6),ISBLANK(Y36)),0,Setup!C$63=YEAR(C37),Setup!C$62,AND(OR(A37&lt;=DA$4,B37&lt;=DB$4),Setup!C$63&lt;YEAR(C37)),O36*(1+DH$1),AND(A37&gt;DA$4,B37&gt;DB$4,Setup!C$63&lt;YEAR(C37)),IF(Y36=0,0,(O36-((O36/Y36)*BY36))*(1+DH$2)))</f>
        <v>0</v>
      </c>
      <c r="P37" s="327" cm="1">
        <f t="array" ref="P37">_xlfn.IFS(OR(ISBLANK(Setup!C$67),Setup!C$67&gt;YEAR(C37),AND(A37&gt;DA$6,B37&gt;DB$6)),0,Setup!C$67=YEAR(C37),Setup!C$66,AND(OR(A37&lt;=DA$4,B37&lt;=DB$4),Setup!C$67&lt;YEAR(C37)),P36*(1+DH$1),AND(A37&gt;DA$4,B37&gt;DB$4,Setup!C$67&lt;YEAR(C37)),IF(Y36=0,0,(P36-((P36/Y36)*BY36))*(1+DH$2)))</f>
        <v>0</v>
      </c>
      <c r="Q37" s="327" cm="1">
        <f t="array" ref="Q37">_xlfn.IFS(OR(ISBLANK(Setup!C$71),Setup!C$71&gt;YEAR(C37),AND(A37&gt;DA$6,B37&gt;DB$6)),0,Setup!C$71=YEAR(C37),Setup!C$70,AND(OR(A37&lt;=DA$4,B37&lt;=DB$4),Setup!C$71&lt;YEAR(C37)),Q36*(1+DH$1),AND(A37&gt;DA$4,B37&gt;DB$4,Setup!C$71&lt;YEAR(C37)),IF(Y36=0,0,(Q36-((Q36/Y36)*BY36))*(1+DH$2)))</f>
        <v>0</v>
      </c>
      <c r="R37" s="327" cm="1">
        <f t="array" ref="R37">_xlfn.IFS(OR(ISBLANK(Setup!C$75),Setup!C$75&gt;YEAR(C37),AND(A37&gt;DA$6,B37&gt;DB$6)),0,Setup!C$75=YEAR(C37),Setup!C$74,AND(OR(A37&lt;=DA$4,B37&lt;=DB$4),Setup!C$75&lt;YEAR(C37)),R36*(1+DH$1),AND(A37&gt;DA$4,B37&gt;DB$4,Setup!C$75&lt;YEAR(C37)),IF(Y36=0,0,(R36-((R36/Y36)*BY36))*(1+DH$2)))</f>
        <v>0</v>
      </c>
      <c r="S37" s="327"/>
      <c r="T37" s="326" cm="1">
        <f t="array" ref="T37">_xlfn.IFS(AND($A37&gt;$DA$6,$B37&gt;$DB$6),0,AND($W$2=$DA$2,$A37&gt;$DA$4),IF($Y36=0,0,(T36-((T36/$Y36)*$BY36))*(1+$DH$2)),AND($W$2=$DB$2,$B37&gt;$DB$4),IF($Y36=0,0,(T36-((T36/$Y36)*$BY36))*(1+$DH$2)),AND($W$2=$DA$2,OR($A37&gt;$DA$3,$A37&gt;$DA$6)),(T36*(1+$DH$1)),AND($W$2=$DB$2,OR($B37&gt;$DB$3,$B37&gt;$DB$6)),(T36*(1+$DH$1)),AND($W$2=$DA$2,$A37&lt;=$DA$3,$A37&lt;=$DA$4,$A37&lt;=$DA$5),(T36*(1+$DH$1))+(T$4),AND($W$2=$DB$2,$B37&lt;=$DB$3,$B37&lt;=$DB$4,$B37&lt;=$DB$5),(T36*(1+$DH$1))+(T$4))</f>
        <v>0</v>
      </c>
      <c r="U37" s="326" cm="1">
        <f t="array" ref="U37">_xlfn.IFS(AND($A37&gt;$DA$6,$B37&gt;$DB$6),0,AND($W$2=$DA$2,$A37&gt;$DA$4),IF($Y36=0,0,(U36-((U36/$Y36)*$BY36))*(1+$DH$2)),AND($W$2=$DB$2,$B37&gt;$DB$4),IF($Y36=0,0,(U36-((U36/$Y36)*$BY36))*(1+$DH$2)),AND($W$2=$DA$2,OR($A37&gt;$DA$3,$A37&gt;$DA$6)),(U36*(1+$DH$1)),AND($W$2=$DB$2,OR($B37&gt;$DB$3,$B37&gt;$DB$6)),(U36*(1+$DH$1)),AND($W$2=$DA$2,$A37&lt;=$DA$3,$A37&lt;=$DA$4,$A37&lt;=$DA$5),(U36*(1+$DH$1))+(U$4),AND($W$2=$DB$2,$B37&lt;=$DB$3,$B37&lt;=$DB$4,$B37&lt;=$DB$5),(U36*(1+$DH$1))+(U$4))</f>
        <v>0</v>
      </c>
      <c r="V37" s="326" cm="1">
        <f t="array" ref="V37">_xlfn.IFS(AND($A37&gt;$DA$6,$B37&gt;$DB$6),0,AND($W$2=$DA$2,$A37&gt;$DA$4),IF($Y36=0,0,(V36-((V36/$Y36)*$BY36))*(1+$DH$2)),AND($W$2=$DB$2,$B37&gt;$DB$4),IF($Y36=0,0,(V36-((V36/$Y36)*$BY36))*(1+$DH$2)),AND($W$2=$DA$2,OR($A37&gt;$DA$3,$A37&gt;$DA$6)),(V36*(1+$DH$1)),AND($W$2=$DB$2,OR($B37&gt;$DB$3,$B37&gt;$DB$6)),(V36*(1+$DH$1)),AND($W$2=$DA$2,$A37&lt;=$DA$3,$A37&lt;=$DA$4,$A37&lt;=$DA$5),(V36*(1+$DH$1))+(V$4),AND($W$2=$DB$2,$B37&lt;=$DB$3,$B37&lt;=$DB$4,$B37&lt;=$DB$5),(V36*(1+$DH$1))+(V$4))</f>
        <v>0</v>
      </c>
      <c r="W37" s="326" cm="1">
        <f t="array" ref="W37">_xlfn.IFS(AND($A37&gt;$DA$6,$B37&gt;$DB$6),0,AND($W$2=$DA$2,$A37&gt;$DA$4),IF($Y36=0,0,(W36-((W36/$Y36)*$BY36))*(1+$DH$2)),AND($W$2=$DB$2,$B37&gt;$DB$4),IF($Y36=0,0,(W36-((W36/$Y36)*$BY36))*(1+$DH$2)),AND($W$2=$DA$2,OR($A37&gt;$DA$3,$A37&gt;$DA$6)),(W36*(1+$DH$1)),AND($W$2=$DB$2,OR($B37&gt;$DB$3,$B37&gt;$DB$6)),(W36*(1+$DH$1)),AND($W$2=$DA$2,$A37&lt;=$DA$3,$A37&lt;=$DA$4,$A37&lt;=$DA$5),(W36*(1+$DH$1))+(W$4),AND($W$2=$DB$2,$B37&lt;=$DB$3,$B37&lt;=$DB$4,$B37&lt;=$DB$5),(W36*(1+$DH$1))+(W$4))</f>
        <v>0</v>
      </c>
      <c r="Y37" s="1">
        <f t="shared" si="18"/>
        <v>0</v>
      </c>
      <c r="Z37" s="2">
        <f t="shared" si="19"/>
        <v>0</v>
      </c>
      <c r="AA37" s="375"/>
      <c r="AC37" s="326" cm="1">
        <f t="array" ref="AC37">_xlfn.IFS(AND(A37&gt;DA$6,B37&gt;DB$6),0,AND(A37&gt;DA$4,B37&gt;DB$4),IF(AG36=0,0,(AC36-((AC36/AG36)*CA36))*(1+DH$2)),OR(A37&gt;DA$3,A37&gt;DA$6),AC36*(1+DH$1),A37&gt;DA$4,(AC36-CA36)*(1+DH$2),AND(A37&lt;=DA$3,A37&lt;=DA$4,A37&lt;=DA$6),(AC36*(1+DH$1))+(AC$4))</f>
        <v>0</v>
      </c>
      <c r="AD37" s="375"/>
      <c r="AE37" s="326" cm="1">
        <f t="array" ref="AE37">_xlfn.IFS(AND(A37&gt;DA$6,B37&gt;DB$6),0,AND(A37&gt;DA$4,B37&gt;DB$4),IF(AG36=0,0,(AE36-((AE36/AG36)*CA36))*(1+DH$2)),OR(B37&gt;DB$3,B37&gt;DB$6),AE36*(1+DH$1),B37&gt;DB$4,(AE36-CA36)*(1+DH$2),AND(B37&lt;=DB$3,B37&lt;=DB$4,B37&lt;=DB$6),(AE36*(1+DH$1))+(AE$4))</f>
        <v>0</v>
      </c>
      <c r="AF37" s="375"/>
      <c r="AG37" s="1">
        <f t="shared" si="5"/>
        <v>0</v>
      </c>
      <c r="AH37" s="2">
        <f t="shared" si="20"/>
        <v>0</v>
      </c>
      <c r="AI37" s="14">
        <f t="shared" si="6"/>
        <v>0</v>
      </c>
      <c r="AK37" s="1">
        <f t="shared" si="21"/>
        <v>0</v>
      </c>
      <c r="AL37" s="14">
        <f t="shared" si="22"/>
        <v>0</v>
      </c>
      <c r="AM37" s="14" t="str">
        <f t="shared" si="23"/>
        <v/>
      </c>
      <c r="AO37" s="15">
        <f t="shared" si="7"/>
        <v>0</v>
      </c>
      <c r="AP37" s="1">
        <f>IF(AND(B37&gt;=$DB$6,A37&gt;=$DA$6),0,AP36*(1+Lookups!C$12))</f>
        <v>0</v>
      </c>
      <c r="AQ37" s="1">
        <f>IF(AND(B37&gt;=$DB$6,A37&gt;=$DA$6),0,AQ36*(1+Lookups!C$12))</f>
        <v>0</v>
      </c>
      <c r="AS37" s="1" cm="1">
        <f t="array" ref="AS37">_xlfn.IFS(OR(AS$6="",AND(A37&gt;=DA$6,B37&gt;=DB$6),AND(A37&lt;DA$4,B37&lt;DB$4)),0,AND(A37=DA$4,DA$4&lt;=DB$4),AS$6,AND(B37=DB$4,DA$4&gt;=DB$4),AS$6,OR(A37&gt;DA$4,B37&gt;DB$4),AS36*(1+Setup!C$103))</f>
        <v>0</v>
      </c>
      <c r="AT37" s="1" cm="1">
        <f t="array" ref="AT37">_xlfn.IFS(OR(AT$6="",AND(A37&gt;=DA$6,B37&gt;=DB$6),AND(A37&lt;DA$4,B37&lt;DB$4)),0,AND(A37=DA$4,DA$4&lt;=DB$4),AT$6,AND(B37=DB$4,DA$4&gt;=DB$4),AT$6,OR(A37&gt;DA$4,B37&gt;DB$4),AT36*(1+Setup!C$103))</f>
        <v>0</v>
      </c>
      <c r="AU37" s="1" cm="1">
        <f t="array" ref="AU37">_xlfn.IFS(OR(AU$6="",AND(A37&gt;=DA$6,B37&gt;=DB$6),AND(A37&lt;DA$4,B37&lt;DB$4)),0,AND(A37=DA$4,DA$4&lt;=DB$4),AU$6,AND(B37=DB$4,DA$4&gt;=DB$4),AU$6,OR(A37&gt;DA$4,B37&gt;DB$4),AU36*(1+Setup!C$103))</f>
        <v>0</v>
      </c>
      <c r="AV37" s="1" cm="1">
        <f t="array" ref="AV37">_xlfn.IFS(OR(AV$6="",AND(A37&gt;=DA$6,B37&gt;=DB$6),AND(A37&lt;DA$4,B37&lt;DB$4)),0,AND(A37=DA$4,DA$4&lt;=DB$4),AV$6,AND(B37=DB$4,DA$4&gt;=DB$4),AV$6,OR(A37&gt;DA$4,B37&gt;DB$4),AV36*(1+Setup!C$103))</f>
        <v>0</v>
      </c>
      <c r="AW37" s="1">
        <f t="shared" si="8"/>
        <v>0</v>
      </c>
      <c r="AY37" s="1" cm="1">
        <f t="array" ref="AY37">_xlfn.IFS(OR(AND(A37&gt;=DA$6,B37&gt;=DB$6),A37&lt;DA$5),0,AND(A37=DA$5,YEAR(C37)&gt;=Lookups!D$89),VLOOKUP(A37,Lookups!B$94:F$102,3),AND(A37=DA$5,YEAR(C37)&lt;Lookups!D$89),VLOOKUP(A37,Lookups!B$94:F$102,2),AND(A37&gt;DA$5,YEAR(C37)=Lookups!D$89),(AY36*Lookups!D$90)*(1+Lookups!C$20),AND(A37&gt;DA$5,YEAR(C37)&lt;&gt;Lookups!D$89),AY36*(1+Lookups!C$20))</f>
        <v>0</v>
      </c>
      <c r="AZ37" s="1" cm="1">
        <f t="array" ref="AZ37">_xlfn.IFS(OR(ISBLANK(Setup!K$91),Setup!K$91=0,AND(A37&gt;=DA$6,B37&gt;=DB$6),B37&lt;DB$5),0,AND(B37=DB$5,YEAR(C37)&gt;=Lookups!D$89),VLOOKUP(B37,Lookups!B$94:F$102,5),AND(B37=DB$5,YEAR(C37)&lt;Lookups!D$89),VLOOKUP(B37,Lookups!B$94:F$102,4),AND(B37&gt;DB$5,YEAR(C37)=Lookups!D$89),(AZ36*Lookups!D$90)*(1+Lookups!C$20),AND(B37&gt;DB$5,YEAR(C37)&lt;&gt;Lookups!D$89),AZ36*(1+Lookups!C$20))</f>
        <v>0</v>
      </c>
      <c r="BA37" s="65">
        <f>IF(OR(AY37&gt;0,AZ37&gt;0),(AY37+AZ37)*Lookups!D$120,0)</f>
        <v>0</v>
      </c>
      <c r="BB37" s="1" cm="1">
        <f t="array" ref="BB37">_xlfn.IFS(AND(A37&lt;DA$4,B37&lt;DB$4),0,OR(_xlfn.XOR(A37&gt;DA$6,B37&gt;DB$6),_xlfn.XOR(A37&gt;=DA$4,B37&gt;=DB$4)),IF(AP37-SUM(AW37,AY37:AZ37)&gt;0,AP37-SUM(AW37,AY37:AZ37),0),AQ37-SUM(AW37,AY37:AZ37)&gt;0, AQ37-SUM(AW37,AY37:AZ37),AQ37-SUM(AW37,AY37:AZ37)&lt;=0,0)</f>
        <v>0</v>
      </c>
      <c r="BD37" s="1" cm="1">
        <f t="array" ref="BD37">_xlfn.IFS(AND(A37&gt;=DA$6,B37&gt;=DB$6),0,AND(A37&gt;=DA$6,B37&gt;=Lookups!C$35),D37/VLOOKUP(B37,Lookups!C$37:D$67,2),A37&lt;Lookups!$C$35,0,A37&gt;=Lookups!C$35,D37/VLOOKUP(A37,Lookups!C$37:D$67,2))</f>
        <v>0</v>
      </c>
      <c r="BE37" s="1" cm="1">
        <f t="array" ref="BE37">_xlfn.IFS(AND(A37&gt;=DA$6,B37&gt;=DB$6),0,AND(B37&gt;=DB$6,A37&gt;=Lookups!C$35),F37/VLOOKUP(A37,Lookups!C$37:D$67,2),B37&lt;Lookups!$C$35,0,B37&gt;=Lookups!C$35,F37/VLOOKUP(B37,Lookups!C$37:D$67,2))</f>
        <v>0</v>
      </c>
      <c r="BF37" s="1" cm="1">
        <f t="array" ref="BF37">_xlfn.IFS($BB37&lt;=0,0,AND(A37&gt;=DA$4,B37&gt;=DB$4,$BB37*I37&lt;(BD37+BE37)),0,AND(A37&gt;=DA$4,B37&gt;=DB$4,H37&gt;=(BB37*I37)-BD37-BE37),(BB37*I37)-BD37-BE37,AND(A37&gt;=DA$4,B37&gt;=DB$4,H37&lt;(BB37*I37)-BD37-BE37),H37,AND(A37&gt;=DA$4,$BB37*I37&lt;(BD37)),0,AND(A37&gt;=DA$4,H37&gt;=(BB37*I37)-BD37),(BB37*I37)-BD37,AND(A37&gt;=DA$4,H37&lt;(BB37*I37)-BD37),H37,AND(B37&gt;=DB$4,$BB37*I37&lt;(BE37)),0,AND(B37&gt;=DB$4,H37&gt;=(BB37*I37)-BE37),(BB37*I37)-BE37,AND(B37&gt;=DB$4,H37&lt;(BB37*I37)-BE37),H37)</f>
        <v>0</v>
      </c>
      <c r="BG37" s="1">
        <f t="shared" si="9"/>
        <v>0</v>
      </c>
      <c r="BH37" s="1" cm="1">
        <f t="array" ref="BH37">_xlfn.IFS(OR(D37=0,A37&lt;DA$4),0,AND(A37&gt;=DA$4,B37&gt;=DB$4,D37&lt;BD37+($BF37*(D37/$H37))+(-$BP37*(D37/$H37))),D37,AND(A37&gt;=DA$4,B37&gt;=DB$4,$BB37&gt;$BG37),BD37+($BF37*(D37/$H37))+(-$BP37*(D37/$H37)),AND(A37&gt;=DA$4,B37&gt;=DB$4,OR(A37&gt;DA$6, B37&gt;DB$6),$AP37-SUM($AW37,$AY37:$AZ37)&lt;0),BD37+($BF37*(D37/$H37))+(-$BP37*(D37/$H37))+(BP37*(D37/$H37)),AND(A37&gt;=DA$4,B37&gt;=DB$4,$AQ37-SUM($AW37,$AY37:$AZ37)&lt;0),BD37+($BF37*(D37/$H37))+(-$BP37*(D37/$H37))+(BP37*(D37/$H37)),AND(A37&gt;=DA$4,D37&lt;BD37+$BF37-$BP37),D37,AND(A37&gt;=DA$4,$AP37-SUM($AW37,$AY37:$AZ37)&lt;0),BD37+($BF37*(D37/$H37))+(-$BP37*(D37/$H37))+(BP37*(D37/$H37)),A37&gt;=DA$4,BD37+$BF37-$BP37)</f>
        <v>0</v>
      </c>
      <c r="BI37" s="1" cm="1">
        <f t="array" ref="BI37">_xlfn.IFS(OR(F37=0,B37&lt;DB$4),0,AND(A37&gt;=DA$4,B37&gt;=DB$4,F37&lt;BE37+($BF37*(F37/$H37))+(-$BP37*(F37/$H37))),F37,AND(A37&gt;=DA$4,B37&gt;=DB$4,$BB37&gt;$BG37),BE37+($BF37*(F37/$H37))+(-$BP37*(F37/$H37)),AND(A37&gt;=DA$4,B37&gt;=DB$4,OR(A37&gt;DA$6, B37&gt;DB$6),$AP37-SUM($AW37,$AY37:$AZ37)&lt;0),BE37+($BF37*(F37/$H37))+(-$BP37*(F37/$H37))+(BP37*(F37/$H37)),AND(A37&gt;=DA$4,B37&gt;=DB$4,$AQ37-SUM($AW37,$AY37:$AZ37)&lt;0),BE37+($BF37*(F37/$H37))+(-$BP37*(F37/$H37))+(BP37*(F37/$H37)),AND(B37&gt;=DB$4,F37&lt;BE37+$BF37-$BP37),F37,AND(B37&gt;=DB$4,$AP37-SUM($AW37,$AY37:$AZ37)&lt;0),BE37+($BF37*(F37/$H37))+(-$BP37*(F37/$H37))+(BP37*(F37/$H37)),B37&gt;=DB$4,BE37+$BF37-$BP37)</f>
        <v>0</v>
      </c>
      <c r="BJ37" s="64" cm="1">
        <f t="array" ref="BJ37">IF(AW37+BA37+BG37&gt;0, AW37+BA37+BG37-_xlfn.IFS(AND(A37&gt;=65,B37&gt;=65),VLOOKUP(Setup!I$4,Lookups!C$133:F$136,4),OR(A37&gt;=65,B37&gt;=65),VLOOKUP(Setup!I$4,Lookups!C$133:E$136,3),AND(A37&lt;65,B37&lt;65),VLOOKUP(Setup!I$4,Lookups!C$133:D$136,2)),0)</f>
        <v>0</v>
      </c>
      <c r="BK37" s="1" cm="1">
        <f t="array" ref="BK37">IF(BJ37&gt;0,_xlfn.IFS(Setup!I$4=Lookups!D$109,-_xlfn.IFS($BJ37&gt;=Lookups!D$157, Lookups!F$157+($BJ37-Lookups!D$157)*Lookups!G$157,$BJ37&gt;=Lookups!D$156, Lookups!F$156+($BJ37-Lookups!D$156)*Lookups!G$156,$BJ37&gt;=Lookups!D$155, Lookups!F$155+($BJ37-Lookups!D$155)*Lookups!G$155,$BJ37&gt;=Lookups!D$154, Lookups!F$154+($BJ37-Lookups!D$154)*Lookups!G$154,$BJ37&gt;=Lookups!D$153, Lookups!F$153+($BJ37-Lookups!D$153)*Lookups!G$153,$BJ37&gt;=Lookups!D$152, Lookups!F$152+($BJ37-Lookups!D$152)*Lookups!G$152,$BJ37&lt;Lookups!D$152,$BJ37*Lookups!G$151),Setup!I$4=Lookups!D$110,-_xlfn.IFS($BJ37&gt;=Lookups!D$167, Lookups!F$167+($BJ37-Lookups!D$167)*Lookups!G$167,$BJ37&gt;=Lookups!D$166, Lookups!F$166+($BJ37-Lookups!D$166)*Lookups!G$166,$BJ37&gt;=Lookups!D$165, Lookups!F$165+($BJ37-Lookups!D$165)*Lookups!G$165,$BJ37&gt;=Lookups!D$164, Lookups!F$164+($BJ37-Lookups!D$164)*Lookups!G$164,$BJ37&gt;=Lookups!D$163, Lookups!F$163+($BJ37-Lookups!D$163)*Lookups!G$163,$BJ37&gt;=Lookups!D$162, Lookups!F$162+($BJ37-Lookups!D$162)*Lookups!G$162,$BJ37&lt;Lookups!D$162,$BJ37*Lookups!G$161),Setup!I$4=Lookups!D$111,-_xlfn.IFS($BJ37&gt;=Lookups!D$177, Lookups!F$177+($BJ37-Lookups!D$177)*Lookups!G$177,$BJ37&gt;=Lookups!D$176, Lookups!F$176+($BJ37-Lookups!D$176)*Lookups!G$176,$BJ37&gt;=Lookups!D$175, Lookups!F$175+($BJ37-Lookups!D$175)*Lookups!G$175,$BJ37&gt;=Lookups!D$174, Lookups!F$174+($BJ37-Lookups!D$174)*Lookups!G$174,$BJ37&gt;=Lookups!D$173, Lookups!F$173+($BJ37-Lookups!D$173)*Lookups!G$173,$BJ37&gt;=Lookups!D$172, Lookups!F$172+($BJ37-Lookups!D$172)*Lookups!G$172,$BJ37&lt;Lookups!D$172,$BJ37*Lookups!G$171), Setup!I$4=Lookups!D$112,-_xlfn.IFS($BJ37&gt;=Lookups!D$187, Lookups!F$187+($BJ37-Lookups!D$187)*Lookups!G$187,$BJ37&gt;=Lookups!D$186, Lookups!F$186+($BJ37-Lookups!D$186)*Lookups!G$186,$BJ37&gt;=Lookups!D$185, Lookups!F$185+($BJ37-Lookups!D$185)*Lookups!G$185,$BJ37&gt;=Lookups!D$184, Lookups!F$184+($BJ37-Lookups!D$184)*Lookups!G$184,$BJ37&gt;=Lookups!D$183, Lookups!F$183+($BJ37-Lookups!D$183)*Lookups!G$183,$BJ37&gt;=Lookups!D$182, Lookups!F$182+($BJ37-Lookups!D$182)*Lookups!G$182,$BJ37&lt;Lookups!D$182,$BJ37*Lookups!G$181)),0)</f>
        <v>0</v>
      </c>
      <c r="BL37" s="18">
        <f t="shared" si="10"/>
        <v>0</v>
      </c>
      <c r="BM37" s="134">
        <f t="shared" si="24"/>
        <v>0</v>
      </c>
      <c r="BN37" s="134" cm="1">
        <f t="array" aca="1" ref="BN37" ca="1">INDIRECT(Setup!I$6&amp;"!"&amp;"A"&amp;ROW())</f>
        <v>0</v>
      </c>
      <c r="BO37" s="134">
        <f t="shared" si="25"/>
        <v>0</v>
      </c>
      <c r="BP37" s="1">
        <f t="shared" si="11"/>
        <v>0</v>
      </c>
      <c r="BQ37" s="1">
        <f t="shared" si="26"/>
        <v>0</v>
      </c>
      <c r="BS37" s="1">
        <f t="shared" si="27"/>
        <v>0</v>
      </c>
      <c r="BT37" s="1" cm="1">
        <f t="array" ref="BT37">-IF(BS37&gt;0,_xlfn.IFS((AW37+BA37+BG37+BS37)&gt;=VLOOKUP(Setup!I$4,Lookups!C$210:E$213,3),BS37*Lookups!D$203,(AW37+BA37+BG37+BS37)&gt;=VLOOKUP(Setup!I$4,Lookups!C$210:E$213,2),BS37*Lookups!D$197,(AW37+BA37+BG37+BS37)&lt;VLOOKUP(Setup!I$4,Lookups!C$210:E$213,2),0),0)</f>
        <v>0</v>
      </c>
      <c r="BU37" s="18">
        <f t="shared" si="28"/>
        <v>0</v>
      </c>
      <c r="BV37" s="1">
        <f t="shared" si="29"/>
        <v>0</v>
      </c>
      <c r="BW37" s="1" cm="1">
        <f t="array" aca="1" ref="BW37" ca="1">INDIRECT(Setup!I$6&amp;"!"&amp;"A"&amp;ROW()+100)</f>
        <v>0</v>
      </c>
      <c r="BX37" s="1">
        <f t="shared" ca="1" si="15"/>
        <v>0</v>
      </c>
      <c r="BY37" s="1">
        <f t="shared" ca="1" si="16"/>
        <v>0</v>
      </c>
      <c r="CA37" s="1">
        <f t="shared" si="34"/>
        <v>0</v>
      </c>
      <c r="CC37" s="1" cm="1">
        <f t="array" ref="CC37">_xlfn.IFS(AND(A37&lt;$DA$4,B37&lt;$DB$4),0,AND(AND(A37&gt;=$DA$4,B37&gt;=$DB$4),AND(A37&lt;=$DA$6,B37&lt;=$DB$6),AND(BH37=0,BI37=0)),SUM(AW37,AY37:AZ37,BD37:BF37,BP37,BS37,CA37)-AQ37,AND(AND(A37&gt;=$DA$4,B37&gt;=$DB$4),AND(A37&lt;=$DA$6,B37&lt;=$DB$6)),SUM(AW37,AY37:AZ37,BD37:BF37,BS37,CA37)-AQ37,AND(OR(A37&gt;=$DA$4,B37&gt;=$DB$4),AND(BH37=0,BI37=0)),SUM(AW37,AY37:AZ37,BD37:BF37,BP37,BS37,CA37)-AP37,OR(A37&gt;=$DA$4,B37&gt;=$DB$4),SUM(AW37,AY37:AZ37,BD37:BF37,BS37,CA37)-AP37)</f>
        <v>0</v>
      </c>
      <c r="CD37" s="142" t="str">
        <f t="shared" si="30"/>
        <v/>
      </c>
    </row>
    <row r="38" spans="1:82" x14ac:dyDescent="0.3">
      <c r="A38" s="354">
        <f t="shared" si="31"/>
        <v>31</v>
      </c>
      <c r="B38" s="354">
        <f t="shared" si="32"/>
        <v>31</v>
      </c>
      <c r="C38" s="359">
        <f t="shared" si="33"/>
        <v>11324</v>
      </c>
      <c r="D38" s="326" cm="1">
        <f t="array" ref="D38">_xlfn.IFS(AND(A38&gt;DA$6,B38&gt;DB$6),0,AND(A38&gt;DA$3,A38&lt;=DA$4),D37*(1+DH$1),OR(A38&gt;DA$6,A38&gt;DA$4),(D37-BH37)*(1+DH$2),A38&lt;=DA$4,(D37*(1+DH$1))+(D$4))</f>
        <v>0</v>
      </c>
      <c r="E38" s="375"/>
      <c r="F38" s="326" cm="1">
        <f t="array" ref="F38">_xlfn.IFS(AND(A38&gt;DA$6,B38&gt;DB$6),0,AND(B38&gt;DB$3,B38&lt;=DB$4),F37*(1+DH$1),OR(B38&gt;DB$6,B38&gt;DB$4),(F37-BI37)*(1+DH$2),B38&lt;=DB$4,(F37*(1+DH$1))+(F$4))</f>
        <v>0</v>
      </c>
      <c r="G38" s="375"/>
      <c r="H38" s="1">
        <f t="shared" si="17"/>
        <v>0</v>
      </c>
      <c r="I38" s="2">
        <f t="shared" si="2"/>
        <v>0</v>
      </c>
      <c r="J38" s="14">
        <f t="shared" si="35"/>
        <v>0</v>
      </c>
      <c r="L38" s="402" cm="1">
        <f t="array" ref="L38">_xlfn.IFS(AND(A38&gt;DA$6,B38&gt;DB$6),0,A38&lt;DA$6,0,A38=DA$6,L$4,AND(A38&gt;DA$6,B38&lt;=DB$4),L37*(1+DH$1),AND(A38&gt;DA$6,B38&gt;DB$4),IF(Y37=0,0,(L37-((L37/Y37)*BY37))*(1+DH$2)))</f>
        <v>0</v>
      </c>
      <c r="M38" s="402" cm="1">
        <f t="array" ref="M38">_xlfn.IFS(AND(A38&gt;DA$6,B38&gt;DB$6),0,B38&lt;DB$6,0,B38=DB$6,M$4,AND(B38&gt;DB$6,A38&lt;=DA$4),M37*(1+DH$1),AND(A38&gt;DA$4,B38&gt;DB$6),IF(Y37=0,0,(M37-((M37/Y37)*BY37))*(1+DH$2)))</f>
        <v>0</v>
      </c>
      <c r="N38" s="327"/>
      <c r="O38" s="327" cm="1">
        <f t="array" ref="O38">_xlfn.IFS(OR(ISBLANK(Setup!C$63),Setup!C$63&gt;YEAR(C38),AND(A38&gt;DA$6,B38&gt;DB$6),ISBLANK(Y37)),0,Setup!C$63=YEAR(C38),Setup!C$62,AND(OR(A38&lt;=DA$4,B38&lt;=DB$4),Setup!C$63&lt;YEAR(C38)),O37*(1+DH$1),AND(A38&gt;DA$4,B38&gt;DB$4,Setup!C$63&lt;YEAR(C38)),IF(Y37=0,0,(O37-((O37/Y37)*BY37))*(1+DH$2)))</f>
        <v>0</v>
      </c>
      <c r="P38" s="327" cm="1">
        <f t="array" ref="P38">_xlfn.IFS(OR(ISBLANK(Setup!C$67),Setup!C$67&gt;YEAR(C38),AND(A38&gt;DA$6,B38&gt;DB$6)),0,Setup!C$67=YEAR(C38),Setup!C$66,AND(OR(A38&lt;=DA$4,B38&lt;=DB$4),Setup!C$67&lt;YEAR(C38)),P37*(1+DH$1),AND(A38&gt;DA$4,B38&gt;DB$4,Setup!C$67&lt;YEAR(C38)),IF(Y37=0,0,(P37-((P37/Y37)*BY37))*(1+DH$2)))</f>
        <v>0</v>
      </c>
      <c r="Q38" s="327" cm="1">
        <f t="array" ref="Q38">_xlfn.IFS(OR(ISBLANK(Setup!C$71),Setup!C$71&gt;YEAR(C38),AND(A38&gt;DA$6,B38&gt;DB$6)),0,Setup!C$71=YEAR(C38),Setup!C$70,AND(OR(A38&lt;=DA$4,B38&lt;=DB$4),Setup!C$71&lt;YEAR(C38)),Q37*(1+DH$1),AND(A38&gt;DA$4,B38&gt;DB$4,Setup!C$71&lt;YEAR(C38)),IF(Y37=0,0,(Q37-((Q37/Y37)*BY37))*(1+DH$2)))</f>
        <v>0</v>
      </c>
      <c r="R38" s="327" cm="1">
        <f t="array" ref="R38">_xlfn.IFS(OR(ISBLANK(Setup!C$75),Setup!C$75&gt;YEAR(C38),AND(A38&gt;DA$6,B38&gt;DB$6)),0,Setup!C$75=YEAR(C38),Setup!C$74,AND(OR(A38&lt;=DA$4,B38&lt;=DB$4),Setup!C$75&lt;YEAR(C38)),R37*(1+DH$1),AND(A38&gt;DA$4,B38&gt;DB$4,Setup!C$75&lt;YEAR(C38)),IF(Y37=0,0,(R37-((R37/Y37)*BY37))*(1+DH$2)))</f>
        <v>0</v>
      </c>
      <c r="S38" s="327"/>
      <c r="T38" s="326" cm="1">
        <f t="array" ref="T38">_xlfn.IFS(AND($A38&gt;$DA$6,$B38&gt;$DB$6),0,AND($W$2=$DA$2,$A38&gt;$DA$4),IF($Y37=0,0,(T37-((T37/$Y37)*$BY37))*(1+$DH$2)),AND($W$2=$DB$2,$B38&gt;$DB$4),IF($Y37=0,0,(T37-((T37/$Y37)*$BY37))*(1+$DH$2)),AND($W$2=$DA$2,OR($A38&gt;$DA$3,$A38&gt;$DA$6)),(T37*(1+$DH$1)),AND($W$2=$DB$2,OR($B38&gt;$DB$3,$B38&gt;$DB$6)),(T37*(1+$DH$1)),AND($W$2=$DA$2,$A38&lt;=$DA$3,$A38&lt;=$DA$4,$A38&lt;=$DA$5),(T37*(1+$DH$1))+(T$4),AND($W$2=$DB$2,$B38&lt;=$DB$3,$B38&lt;=$DB$4,$B38&lt;=$DB$5),(T37*(1+$DH$1))+(T$4))</f>
        <v>0</v>
      </c>
      <c r="U38" s="326" cm="1">
        <f t="array" ref="U38">_xlfn.IFS(AND($A38&gt;$DA$6,$B38&gt;$DB$6),0,AND($W$2=$DA$2,$A38&gt;$DA$4),IF($Y37=0,0,(U37-((U37/$Y37)*$BY37))*(1+$DH$2)),AND($W$2=$DB$2,$B38&gt;$DB$4),IF($Y37=0,0,(U37-((U37/$Y37)*$BY37))*(1+$DH$2)),AND($W$2=$DA$2,OR($A38&gt;$DA$3,$A38&gt;$DA$6)),(U37*(1+$DH$1)),AND($W$2=$DB$2,OR($B38&gt;$DB$3,$B38&gt;$DB$6)),(U37*(1+$DH$1)),AND($W$2=$DA$2,$A38&lt;=$DA$3,$A38&lt;=$DA$4,$A38&lt;=$DA$5),(U37*(1+$DH$1))+(U$4),AND($W$2=$DB$2,$B38&lt;=$DB$3,$B38&lt;=$DB$4,$B38&lt;=$DB$5),(U37*(1+$DH$1))+(U$4))</f>
        <v>0</v>
      </c>
      <c r="V38" s="326" cm="1">
        <f t="array" ref="V38">_xlfn.IFS(AND($A38&gt;$DA$6,$B38&gt;$DB$6),0,AND($W$2=$DA$2,$A38&gt;$DA$4),IF($Y37=0,0,(V37-((V37/$Y37)*$BY37))*(1+$DH$2)),AND($W$2=$DB$2,$B38&gt;$DB$4),IF($Y37=0,0,(V37-((V37/$Y37)*$BY37))*(1+$DH$2)),AND($W$2=$DA$2,OR($A38&gt;$DA$3,$A38&gt;$DA$6)),(V37*(1+$DH$1)),AND($W$2=$DB$2,OR($B38&gt;$DB$3,$B38&gt;$DB$6)),(V37*(1+$DH$1)),AND($W$2=$DA$2,$A38&lt;=$DA$3,$A38&lt;=$DA$4,$A38&lt;=$DA$5),(V37*(1+$DH$1))+(V$4),AND($W$2=$DB$2,$B38&lt;=$DB$3,$B38&lt;=$DB$4,$B38&lt;=$DB$5),(V37*(1+$DH$1))+(V$4))</f>
        <v>0</v>
      </c>
      <c r="W38" s="326" cm="1">
        <f t="array" ref="W38">_xlfn.IFS(AND($A38&gt;$DA$6,$B38&gt;$DB$6),0,AND($W$2=$DA$2,$A38&gt;$DA$4),IF($Y37=0,0,(W37-((W37/$Y37)*$BY37))*(1+$DH$2)),AND($W$2=$DB$2,$B38&gt;$DB$4),IF($Y37=0,0,(W37-((W37/$Y37)*$BY37))*(1+$DH$2)),AND($W$2=$DA$2,OR($A38&gt;$DA$3,$A38&gt;$DA$6)),(W37*(1+$DH$1)),AND($W$2=$DB$2,OR($B38&gt;$DB$3,$B38&gt;$DB$6)),(W37*(1+$DH$1)),AND($W$2=$DA$2,$A38&lt;=$DA$3,$A38&lt;=$DA$4,$A38&lt;=$DA$5),(W37*(1+$DH$1))+(W$4),AND($W$2=$DB$2,$B38&lt;=$DB$3,$B38&lt;=$DB$4,$B38&lt;=$DB$5),(W37*(1+$DH$1))+(W$4))</f>
        <v>0</v>
      </c>
      <c r="Y38" s="1">
        <f t="shared" si="18"/>
        <v>0</v>
      </c>
      <c r="Z38" s="2">
        <f t="shared" si="19"/>
        <v>0</v>
      </c>
      <c r="AA38" s="375"/>
      <c r="AC38" s="326" cm="1">
        <f t="array" ref="AC38">_xlfn.IFS(AND(A38&gt;DA$6,B38&gt;DB$6),0,AND(A38&gt;DA$4,B38&gt;DB$4),IF(AG37=0,0,(AC37-((AC37/AG37)*CA37))*(1+DH$2)),OR(A38&gt;DA$3,A38&gt;DA$6),AC37*(1+DH$1),A38&gt;DA$4,(AC37-CA37)*(1+DH$2),AND(A38&lt;=DA$3,A38&lt;=DA$4,A38&lt;=DA$6),(AC37*(1+DH$1))+(AC$4))</f>
        <v>0</v>
      </c>
      <c r="AD38" s="375"/>
      <c r="AE38" s="326" cm="1">
        <f t="array" ref="AE38">_xlfn.IFS(AND(A38&gt;DA$6,B38&gt;DB$6),0,AND(A38&gt;DA$4,B38&gt;DB$4),IF(AG37=0,0,(AE37-((AE37/AG37)*CA37))*(1+DH$2)),OR(B38&gt;DB$3,B38&gt;DB$6),AE37*(1+DH$1),B38&gt;DB$4,(AE37-CA37)*(1+DH$2),AND(B38&lt;=DB$3,B38&lt;=DB$4,B38&lt;=DB$6),(AE37*(1+DH$1))+(AE$4))</f>
        <v>0</v>
      </c>
      <c r="AF38" s="375"/>
      <c r="AG38" s="1">
        <f t="shared" si="5"/>
        <v>0</v>
      </c>
      <c r="AH38" s="2">
        <f t="shared" si="20"/>
        <v>0</v>
      </c>
      <c r="AI38" s="14">
        <f t="shared" si="6"/>
        <v>0</v>
      </c>
      <c r="AK38" s="1">
        <f t="shared" si="21"/>
        <v>0</v>
      </c>
      <c r="AL38" s="14">
        <f t="shared" si="22"/>
        <v>0</v>
      </c>
      <c r="AM38" s="14" t="str">
        <f t="shared" si="23"/>
        <v/>
      </c>
      <c r="AO38" s="15">
        <f t="shared" si="7"/>
        <v>0</v>
      </c>
      <c r="AP38" s="1">
        <f>IF(AND(B38&gt;=$DB$6,A38&gt;=$DA$6),0,AP37*(1+Lookups!C$12))</f>
        <v>0</v>
      </c>
      <c r="AQ38" s="1">
        <f>IF(AND(B38&gt;=$DB$6,A38&gt;=$DA$6),0,AQ37*(1+Lookups!C$12))</f>
        <v>0</v>
      </c>
      <c r="AS38" s="1" cm="1">
        <f t="array" ref="AS38">_xlfn.IFS(OR(AS$6="",AND(A38&gt;=DA$6,B38&gt;=DB$6),AND(A38&lt;DA$4,B38&lt;DB$4)),0,AND(A38=DA$4,DA$4&lt;=DB$4),AS$6,AND(B38=DB$4,DA$4&gt;=DB$4),AS$6,OR(A38&gt;DA$4,B38&gt;DB$4),AS37*(1+Setup!C$103))</f>
        <v>0</v>
      </c>
      <c r="AT38" s="1" cm="1">
        <f t="array" ref="AT38">_xlfn.IFS(OR(AT$6="",AND(A38&gt;=DA$6,B38&gt;=DB$6),AND(A38&lt;DA$4,B38&lt;DB$4)),0,AND(A38=DA$4,DA$4&lt;=DB$4),AT$6,AND(B38=DB$4,DA$4&gt;=DB$4),AT$6,OR(A38&gt;DA$4,B38&gt;DB$4),AT37*(1+Setup!C$103))</f>
        <v>0</v>
      </c>
      <c r="AU38" s="1" cm="1">
        <f t="array" ref="AU38">_xlfn.IFS(OR(AU$6="",AND(A38&gt;=DA$6,B38&gt;=DB$6),AND(A38&lt;DA$4,B38&lt;DB$4)),0,AND(A38=DA$4,DA$4&lt;=DB$4),AU$6,AND(B38=DB$4,DA$4&gt;=DB$4),AU$6,OR(A38&gt;DA$4,B38&gt;DB$4),AU37*(1+Setup!C$103))</f>
        <v>0</v>
      </c>
      <c r="AV38" s="1" cm="1">
        <f t="array" ref="AV38">_xlfn.IFS(OR(AV$6="",AND(A38&gt;=DA$6,B38&gt;=DB$6),AND(A38&lt;DA$4,B38&lt;DB$4)),0,AND(A38=DA$4,DA$4&lt;=DB$4),AV$6,AND(B38=DB$4,DA$4&gt;=DB$4),AV$6,OR(A38&gt;DA$4,B38&gt;DB$4),AV37*(1+Setup!C$103))</f>
        <v>0</v>
      </c>
      <c r="AW38" s="1">
        <f t="shared" si="8"/>
        <v>0</v>
      </c>
      <c r="AY38" s="1" cm="1">
        <f t="array" ref="AY38">_xlfn.IFS(OR(AND(A38&gt;=DA$6,B38&gt;=DB$6),A38&lt;DA$5),0,AND(A38=DA$5,YEAR(C38)&gt;=Lookups!D$89),VLOOKUP(A38,Lookups!B$94:F$102,3),AND(A38=DA$5,YEAR(C38)&lt;Lookups!D$89),VLOOKUP(A38,Lookups!B$94:F$102,2),AND(A38&gt;DA$5,YEAR(C38)=Lookups!D$89),(AY37*Lookups!D$90)*(1+Lookups!C$20),AND(A38&gt;DA$5,YEAR(C38)&lt;&gt;Lookups!D$89),AY37*(1+Lookups!C$20))</f>
        <v>0</v>
      </c>
      <c r="AZ38" s="1" cm="1">
        <f t="array" ref="AZ38">_xlfn.IFS(OR(ISBLANK(Setup!K$91),Setup!K$91=0,AND(A38&gt;=DA$6,B38&gt;=DB$6),B38&lt;DB$5),0,AND(B38=DB$5,YEAR(C38)&gt;=Lookups!D$89),VLOOKUP(B38,Lookups!B$94:F$102,5),AND(B38=DB$5,YEAR(C38)&lt;Lookups!D$89),VLOOKUP(B38,Lookups!B$94:F$102,4),AND(B38&gt;DB$5,YEAR(C38)=Lookups!D$89),(AZ37*Lookups!D$90)*(1+Lookups!C$20),AND(B38&gt;DB$5,YEAR(C38)&lt;&gt;Lookups!D$89),AZ37*(1+Lookups!C$20))</f>
        <v>0</v>
      </c>
      <c r="BA38" s="65">
        <f>IF(OR(AY38&gt;0,AZ38&gt;0),(AY38+AZ38)*Lookups!D$120,0)</f>
        <v>0</v>
      </c>
      <c r="BB38" s="1" cm="1">
        <f t="array" ref="BB38">_xlfn.IFS(AND(A38&lt;DA$4,B38&lt;DB$4),0,OR(_xlfn.XOR(A38&gt;DA$6,B38&gt;DB$6),_xlfn.XOR(A38&gt;=DA$4,B38&gt;=DB$4)),IF(AP38-SUM(AW38,AY38:AZ38)&gt;0,AP38-SUM(AW38,AY38:AZ38),0),AQ38-SUM(AW38,AY38:AZ38)&gt;0, AQ38-SUM(AW38,AY38:AZ38),AQ38-SUM(AW38,AY38:AZ38)&lt;=0,0)</f>
        <v>0</v>
      </c>
      <c r="BD38" s="1" cm="1">
        <f t="array" ref="BD38">_xlfn.IFS(AND(A38&gt;=DA$6,B38&gt;=DB$6),0,AND(A38&gt;=DA$6,B38&gt;=Lookups!C$35),D38/VLOOKUP(B38,Lookups!C$37:D$67,2),A38&lt;Lookups!$C$35,0,A38&gt;=Lookups!C$35,D38/VLOOKUP(A38,Lookups!C$37:D$67,2))</f>
        <v>0</v>
      </c>
      <c r="BE38" s="1" cm="1">
        <f t="array" ref="BE38">_xlfn.IFS(AND(A38&gt;=DA$6,B38&gt;=DB$6),0,AND(B38&gt;=DB$6,A38&gt;=Lookups!C$35),F38/VLOOKUP(A38,Lookups!C$37:D$67,2),B38&lt;Lookups!$C$35,0,B38&gt;=Lookups!C$35,F38/VLOOKUP(B38,Lookups!C$37:D$67,2))</f>
        <v>0</v>
      </c>
      <c r="BF38" s="1" cm="1">
        <f t="array" ref="BF38">_xlfn.IFS($BB38&lt;=0,0,AND(A38&gt;=DA$4,B38&gt;=DB$4,$BB38*I38&lt;(BD38+BE38)),0,AND(A38&gt;=DA$4,B38&gt;=DB$4,H38&gt;=(BB38*I38)-BD38-BE38),(BB38*I38)-BD38-BE38,AND(A38&gt;=DA$4,B38&gt;=DB$4,H38&lt;(BB38*I38)-BD38-BE38),H38,AND(A38&gt;=DA$4,$BB38*I38&lt;(BD38)),0,AND(A38&gt;=DA$4,H38&gt;=(BB38*I38)-BD38),(BB38*I38)-BD38,AND(A38&gt;=DA$4,H38&lt;(BB38*I38)-BD38),H38,AND(B38&gt;=DB$4,$BB38*I38&lt;(BE38)),0,AND(B38&gt;=DB$4,H38&gt;=(BB38*I38)-BE38),(BB38*I38)-BE38,AND(B38&gt;=DB$4,H38&lt;(BB38*I38)-BE38),H38)</f>
        <v>0</v>
      </c>
      <c r="BG38" s="1">
        <f t="shared" si="9"/>
        <v>0</v>
      </c>
      <c r="BH38" s="1" cm="1">
        <f t="array" ref="BH38">_xlfn.IFS(OR(D38=0,A38&lt;DA$4),0,AND(A38&gt;=DA$4,B38&gt;=DB$4,D38&lt;BD38+($BF38*(D38/$H38))+(-$BP38*(D38/$H38))),D38,AND(A38&gt;=DA$4,B38&gt;=DB$4,$BB38&gt;$BG38),BD38+($BF38*(D38/$H38))+(-$BP38*(D38/$H38)),AND(A38&gt;=DA$4,B38&gt;=DB$4,OR(A38&gt;DA$6, B38&gt;DB$6),$AP38-SUM($AW38,$AY38:$AZ38)&lt;0),BD38+($BF38*(D38/$H38))+(-$BP38*(D38/$H38))+(BP38*(D38/$H38)),AND(A38&gt;=DA$4,B38&gt;=DB$4,$AQ38-SUM($AW38,$AY38:$AZ38)&lt;0),BD38+($BF38*(D38/$H38))+(-$BP38*(D38/$H38))+(BP38*(D38/$H38)),AND(A38&gt;=DA$4,D38&lt;BD38+$BF38-$BP38),D38,AND(A38&gt;=DA$4,$AP38-SUM($AW38,$AY38:$AZ38)&lt;0),BD38+($BF38*(D38/$H38))+(-$BP38*(D38/$H38))+(BP38*(D38/$H38)),A38&gt;=DA$4,BD38+$BF38-$BP38)</f>
        <v>0</v>
      </c>
      <c r="BI38" s="1" cm="1">
        <f t="array" ref="BI38">_xlfn.IFS(OR(F38=0,B38&lt;DB$4),0,AND(A38&gt;=DA$4,B38&gt;=DB$4,F38&lt;BE38+($BF38*(F38/$H38))+(-$BP38*(F38/$H38))),F38,AND(A38&gt;=DA$4,B38&gt;=DB$4,$BB38&gt;$BG38),BE38+($BF38*(F38/$H38))+(-$BP38*(F38/$H38)),AND(A38&gt;=DA$4,B38&gt;=DB$4,OR(A38&gt;DA$6, B38&gt;DB$6),$AP38-SUM($AW38,$AY38:$AZ38)&lt;0),BE38+($BF38*(F38/$H38))+(-$BP38*(F38/$H38))+(BP38*(F38/$H38)),AND(A38&gt;=DA$4,B38&gt;=DB$4,$AQ38-SUM($AW38,$AY38:$AZ38)&lt;0),BE38+($BF38*(F38/$H38))+(-$BP38*(F38/$H38))+(BP38*(F38/$H38)),AND(B38&gt;=DB$4,F38&lt;BE38+$BF38-$BP38),F38,AND(B38&gt;=DB$4,$AP38-SUM($AW38,$AY38:$AZ38)&lt;0),BE38+($BF38*(F38/$H38))+(-$BP38*(F38/$H38))+(BP38*(F38/$H38)),B38&gt;=DB$4,BE38+$BF38-$BP38)</f>
        <v>0</v>
      </c>
      <c r="BJ38" s="64" cm="1">
        <f t="array" ref="BJ38">IF(AW38+BA38+BG38&gt;0, AW38+BA38+BG38-_xlfn.IFS(AND(A38&gt;=65,B38&gt;=65),VLOOKUP(Setup!I$4,Lookups!C$133:F$136,4),OR(A38&gt;=65,B38&gt;=65),VLOOKUP(Setup!I$4,Lookups!C$133:E$136,3),AND(A38&lt;65,B38&lt;65),VLOOKUP(Setup!I$4,Lookups!C$133:D$136,2)),0)</f>
        <v>0</v>
      </c>
      <c r="BK38" s="1" cm="1">
        <f t="array" ref="BK38">IF(BJ38&gt;0,_xlfn.IFS(Setup!I$4=Lookups!D$109,-_xlfn.IFS($BJ38&gt;=Lookups!D$157, Lookups!F$157+($BJ38-Lookups!D$157)*Lookups!G$157,$BJ38&gt;=Lookups!D$156, Lookups!F$156+($BJ38-Lookups!D$156)*Lookups!G$156,$BJ38&gt;=Lookups!D$155, Lookups!F$155+($BJ38-Lookups!D$155)*Lookups!G$155,$BJ38&gt;=Lookups!D$154, Lookups!F$154+($BJ38-Lookups!D$154)*Lookups!G$154,$BJ38&gt;=Lookups!D$153, Lookups!F$153+($BJ38-Lookups!D$153)*Lookups!G$153,$BJ38&gt;=Lookups!D$152, Lookups!F$152+($BJ38-Lookups!D$152)*Lookups!G$152,$BJ38&lt;Lookups!D$152,$BJ38*Lookups!G$151),Setup!I$4=Lookups!D$110,-_xlfn.IFS($BJ38&gt;=Lookups!D$167, Lookups!F$167+($BJ38-Lookups!D$167)*Lookups!G$167,$BJ38&gt;=Lookups!D$166, Lookups!F$166+($BJ38-Lookups!D$166)*Lookups!G$166,$BJ38&gt;=Lookups!D$165, Lookups!F$165+($BJ38-Lookups!D$165)*Lookups!G$165,$BJ38&gt;=Lookups!D$164, Lookups!F$164+($BJ38-Lookups!D$164)*Lookups!G$164,$BJ38&gt;=Lookups!D$163, Lookups!F$163+($BJ38-Lookups!D$163)*Lookups!G$163,$BJ38&gt;=Lookups!D$162, Lookups!F$162+($BJ38-Lookups!D$162)*Lookups!G$162,$BJ38&lt;Lookups!D$162,$BJ38*Lookups!G$161),Setup!I$4=Lookups!D$111,-_xlfn.IFS($BJ38&gt;=Lookups!D$177, Lookups!F$177+($BJ38-Lookups!D$177)*Lookups!G$177,$BJ38&gt;=Lookups!D$176, Lookups!F$176+($BJ38-Lookups!D$176)*Lookups!G$176,$BJ38&gt;=Lookups!D$175, Lookups!F$175+($BJ38-Lookups!D$175)*Lookups!G$175,$BJ38&gt;=Lookups!D$174, Lookups!F$174+($BJ38-Lookups!D$174)*Lookups!G$174,$BJ38&gt;=Lookups!D$173, Lookups!F$173+($BJ38-Lookups!D$173)*Lookups!G$173,$BJ38&gt;=Lookups!D$172, Lookups!F$172+($BJ38-Lookups!D$172)*Lookups!G$172,$BJ38&lt;Lookups!D$172,$BJ38*Lookups!G$171), Setup!I$4=Lookups!D$112,-_xlfn.IFS($BJ38&gt;=Lookups!D$187, Lookups!F$187+($BJ38-Lookups!D$187)*Lookups!G$187,$BJ38&gt;=Lookups!D$186, Lookups!F$186+($BJ38-Lookups!D$186)*Lookups!G$186,$BJ38&gt;=Lookups!D$185, Lookups!F$185+($BJ38-Lookups!D$185)*Lookups!G$185,$BJ38&gt;=Lookups!D$184, Lookups!F$184+($BJ38-Lookups!D$184)*Lookups!G$184,$BJ38&gt;=Lookups!D$183, Lookups!F$183+($BJ38-Lookups!D$183)*Lookups!G$183,$BJ38&gt;=Lookups!D$182, Lookups!F$182+($BJ38-Lookups!D$182)*Lookups!G$182,$BJ38&lt;Lookups!D$182,$BJ38*Lookups!G$181)),0)</f>
        <v>0</v>
      </c>
      <c r="BL38" s="18">
        <f t="shared" si="10"/>
        <v>0</v>
      </c>
      <c r="BM38" s="134">
        <f t="shared" si="24"/>
        <v>0</v>
      </c>
      <c r="BN38" s="134" cm="1">
        <f t="array" aca="1" ref="BN38" ca="1">INDIRECT(Setup!I$6&amp;"!"&amp;"A"&amp;ROW())</f>
        <v>0</v>
      </c>
      <c r="BO38" s="134">
        <f t="shared" si="25"/>
        <v>0</v>
      </c>
      <c r="BP38" s="1">
        <f t="shared" si="11"/>
        <v>0</v>
      </c>
      <c r="BQ38" s="1">
        <f t="shared" si="26"/>
        <v>0</v>
      </c>
      <c r="BS38" s="1">
        <f t="shared" si="27"/>
        <v>0</v>
      </c>
      <c r="BT38" s="1" cm="1">
        <f t="array" ref="BT38">-IF(BS38&gt;0,_xlfn.IFS((AW38+BA38+BG38+BS38)&gt;=VLOOKUP(Setup!I$4,Lookups!C$210:E$213,3),BS38*Lookups!D$203,(AW38+BA38+BG38+BS38)&gt;=VLOOKUP(Setup!I$4,Lookups!C$210:E$213,2),BS38*Lookups!D$197,(AW38+BA38+BG38+BS38)&lt;VLOOKUP(Setup!I$4,Lookups!C$210:E$213,2),0),0)</f>
        <v>0</v>
      </c>
      <c r="BU38" s="18">
        <f t="shared" si="28"/>
        <v>0</v>
      </c>
      <c r="BV38" s="1">
        <f t="shared" si="29"/>
        <v>0</v>
      </c>
      <c r="BW38" s="1" cm="1">
        <f t="array" aca="1" ref="BW38" ca="1">INDIRECT(Setup!I$6&amp;"!"&amp;"A"&amp;ROW()+100)</f>
        <v>0</v>
      </c>
      <c r="BX38" s="1">
        <f t="shared" ca="1" si="15"/>
        <v>0</v>
      </c>
      <c r="BY38" s="1">
        <f t="shared" ca="1" si="16"/>
        <v>0</v>
      </c>
      <c r="CA38" s="1">
        <f t="shared" si="34"/>
        <v>0</v>
      </c>
      <c r="CC38" s="1" cm="1">
        <f t="array" ref="CC38">_xlfn.IFS(AND(A38&lt;$DA$4,B38&lt;$DB$4),0,AND(AND(A38&gt;=$DA$4,B38&gt;=$DB$4),AND(A38&lt;=$DA$6,B38&lt;=$DB$6),AND(BH38=0,BI38=0)),SUM(AW38,AY38:AZ38,BD38:BF38,BP38,BS38,CA38)-AQ38,AND(AND(A38&gt;=$DA$4,B38&gt;=$DB$4),AND(A38&lt;=$DA$6,B38&lt;=$DB$6)),SUM(AW38,AY38:AZ38,BD38:BF38,BS38,CA38)-AQ38,AND(OR(A38&gt;=$DA$4,B38&gt;=$DB$4),AND(BH38=0,BI38=0)),SUM(AW38,AY38:AZ38,BD38:BF38,BP38,BS38,CA38)-AP38,OR(A38&gt;=$DA$4,B38&gt;=$DB$4),SUM(AW38,AY38:AZ38,BD38:BF38,BS38,CA38)-AP38)</f>
        <v>0</v>
      </c>
      <c r="CD38" s="142" t="str">
        <f t="shared" si="30"/>
        <v/>
      </c>
    </row>
    <row r="39" spans="1:82" x14ac:dyDescent="0.3">
      <c r="A39" s="354">
        <f t="shared" si="31"/>
        <v>32</v>
      </c>
      <c r="B39" s="354">
        <f t="shared" si="32"/>
        <v>32</v>
      </c>
      <c r="C39" s="359">
        <f t="shared" si="33"/>
        <v>11689</v>
      </c>
      <c r="D39" s="326" cm="1">
        <f t="array" ref="D39">_xlfn.IFS(AND(A39&gt;DA$6,B39&gt;DB$6),0,AND(A39&gt;DA$3,A39&lt;=DA$4),D38*(1+DH$1),OR(A39&gt;DA$6,A39&gt;DA$4),(D38-BH38)*(1+DH$2),A39&lt;=DA$4,(D38*(1+DH$1))+(D$4))</f>
        <v>0</v>
      </c>
      <c r="E39" s="375"/>
      <c r="F39" s="326" cm="1">
        <f t="array" ref="F39">_xlfn.IFS(AND(A39&gt;DA$6,B39&gt;DB$6),0,AND(B39&gt;DB$3,B39&lt;=DB$4),F38*(1+DH$1),OR(B39&gt;DB$6,B39&gt;DB$4),(F38-BI38)*(1+DH$2),B39&lt;=DB$4,(F38*(1+DH$1))+(F$4))</f>
        <v>0</v>
      </c>
      <c r="G39" s="375"/>
      <c r="H39" s="1">
        <f t="shared" si="17"/>
        <v>0</v>
      </c>
      <c r="I39" s="2">
        <f t="shared" ref="I39:I70" si="36">IF(AK39=0,0,H39/AK39)</f>
        <v>0</v>
      </c>
      <c r="J39" s="14">
        <f t="shared" si="35"/>
        <v>0</v>
      </c>
      <c r="L39" s="402" cm="1">
        <f t="array" ref="L39">_xlfn.IFS(AND(A39&gt;DA$6,B39&gt;DB$6),0,A39&lt;DA$6,0,A39=DA$6,L$4,AND(A39&gt;DA$6,B39&lt;=DB$4),L38*(1+DH$1),AND(A39&gt;DA$6,B39&gt;DB$4),IF(Y38=0,0,(L38-((L38/Y38)*BY38))*(1+DH$2)))</f>
        <v>0</v>
      </c>
      <c r="M39" s="402" cm="1">
        <f t="array" ref="M39">_xlfn.IFS(AND(A39&gt;DA$6,B39&gt;DB$6),0,B39&lt;DB$6,0,B39=DB$6,M$4,AND(B39&gt;DB$6,A39&lt;=DA$4),M38*(1+DH$1),AND(A39&gt;DA$4,B39&gt;DB$6),IF(Y38=0,0,(M38-((M38/Y38)*BY38))*(1+DH$2)))</f>
        <v>0</v>
      </c>
      <c r="N39" s="327"/>
      <c r="O39" s="327" cm="1">
        <f t="array" ref="O39">_xlfn.IFS(OR(ISBLANK(Setup!C$63),Setup!C$63&gt;YEAR(C39),AND(A39&gt;DA$6,B39&gt;DB$6),ISBLANK(Y38)),0,Setup!C$63=YEAR(C39),Setup!C$62,AND(OR(A39&lt;=DA$4,B39&lt;=DB$4),Setup!C$63&lt;YEAR(C39)),O38*(1+DH$1),AND(A39&gt;DA$4,B39&gt;DB$4,Setup!C$63&lt;YEAR(C39)),IF(Y38=0,0,(O38-((O38/Y38)*BY38))*(1+DH$2)))</f>
        <v>0</v>
      </c>
      <c r="P39" s="327" cm="1">
        <f t="array" ref="P39">_xlfn.IFS(OR(ISBLANK(Setup!C$67),Setup!C$67&gt;YEAR(C39),AND(A39&gt;DA$6,B39&gt;DB$6)),0,Setup!C$67=YEAR(C39),Setup!C$66,AND(OR(A39&lt;=DA$4,B39&lt;=DB$4),Setup!C$67&lt;YEAR(C39)),P38*(1+DH$1),AND(A39&gt;DA$4,B39&gt;DB$4,Setup!C$67&lt;YEAR(C39)),IF(Y38=0,0,(P38-((P38/Y38)*BY38))*(1+DH$2)))</f>
        <v>0</v>
      </c>
      <c r="Q39" s="327" cm="1">
        <f t="array" ref="Q39">_xlfn.IFS(OR(ISBLANK(Setup!C$71),Setup!C$71&gt;YEAR(C39),AND(A39&gt;DA$6,B39&gt;DB$6)),0,Setup!C$71=YEAR(C39),Setup!C$70,AND(OR(A39&lt;=DA$4,B39&lt;=DB$4),Setup!C$71&lt;YEAR(C39)),Q38*(1+DH$1),AND(A39&gt;DA$4,B39&gt;DB$4,Setup!C$71&lt;YEAR(C39)),IF(Y38=0,0,(Q38-((Q38/Y38)*BY38))*(1+DH$2)))</f>
        <v>0</v>
      </c>
      <c r="R39" s="327" cm="1">
        <f t="array" ref="R39">_xlfn.IFS(OR(ISBLANK(Setup!C$75),Setup!C$75&gt;YEAR(C39),AND(A39&gt;DA$6,B39&gt;DB$6)),0,Setup!C$75=YEAR(C39),Setup!C$74,AND(OR(A39&lt;=DA$4,B39&lt;=DB$4),Setup!C$75&lt;YEAR(C39)),R38*(1+DH$1),AND(A39&gt;DA$4,B39&gt;DB$4,Setup!C$75&lt;YEAR(C39)),IF(Y38=0,0,(R38-((R38/Y38)*BY38))*(1+DH$2)))</f>
        <v>0</v>
      </c>
      <c r="S39" s="327"/>
      <c r="T39" s="326" cm="1">
        <f t="array" ref="T39">_xlfn.IFS(AND($A39&gt;$DA$6,$B39&gt;$DB$6),0,AND($W$2=$DA$2,$A39&gt;$DA$4),IF($Y38=0,0,(T38-((T38/$Y38)*$BY38))*(1+$DH$2)),AND($W$2=$DB$2,$B39&gt;$DB$4),IF($Y38=0,0,(T38-((T38/$Y38)*$BY38))*(1+$DH$2)),AND($W$2=$DA$2,OR($A39&gt;$DA$3,$A39&gt;$DA$6)),(T38*(1+$DH$1)),AND($W$2=$DB$2,OR($B39&gt;$DB$3,$B39&gt;$DB$6)),(T38*(1+$DH$1)),AND($W$2=$DA$2,$A39&lt;=$DA$3,$A39&lt;=$DA$4,$A39&lt;=$DA$5),(T38*(1+$DH$1))+(T$4),AND($W$2=$DB$2,$B39&lt;=$DB$3,$B39&lt;=$DB$4,$B39&lt;=$DB$5),(T38*(1+$DH$1))+(T$4))</f>
        <v>0</v>
      </c>
      <c r="U39" s="326" cm="1">
        <f t="array" ref="U39">_xlfn.IFS(AND($A39&gt;$DA$6,$B39&gt;$DB$6),0,AND($W$2=$DA$2,$A39&gt;$DA$4),IF($Y38=0,0,(U38-((U38/$Y38)*$BY38))*(1+$DH$2)),AND($W$2=$DB$2,$B39&gt;$DB$4),IF($Y38=0,0,(U38-((U38/$Y38)*$BY38))*(1+$DH$2)),AND($W$2=$DA$2,OR($A39&gt;$DA$3,$A39&gt;$DA$6)),(U38*(1+$DH$1)),AND($W$2=$DB$2,OR($B39&gt;$DB$3,$B39&gt;$DB$6)),(U38*(1+$DH$1)),AND($W$2=$DA$2,$A39&lt;=$DA$3,$A39&lt;=$DA$4,$A39&lt;=$DA$5),(U38*(1+$DH$1))+(U$4),AND($W$2=$DB$2,$B39&lt;=$DB$3,$B39&lt;=$DB$4,$B39&lt;=$DB$5),(U38*(1+$DH$1))+(U$4))</f>
        <v>0</v>
      </c>
      <c r="V39" s="326" cm="1">
        <f t="array" ref="V39">_xlfn.IFS(AND($A39&gt;$DA$6,$B39&gt;$DB$6),0,AND($W$2=$DA$2,$A39&gt;$DA$4),IF($Y38=0,0,(V38-((V38/$Y38)*$BY38))*(1+$DH$2)),AND($W$2=$DB$2,$B39&gt;$DB$4),IF($Y38=0,0,(V38-((V38/$Y38)*$BY38))*(1+$DH$2)),AND($W$2=$DA$2,OR($A39&gt;$DA$3,$A39&gt;$DA$6)),(V38*(1+$DH$1)),AND($W$2=$DB$2,OR($B39&gt;$DB$3,$B39&gt;$DB$6)),(V38*(1+$DH$1)),AND($W$2=$DA$2,$A39&lt;=$DA$3,$A39&lt;=$DA$4,$A39&lt;=$DA$5),(V38*(1+$DH$1))+(V$4),AND($W$2=$DB$2,$B39&lt;=$DB$3,$B39&lt;=$DB$4,$B39&lt;=$DB$5),(V38*(1+$DH$1))+(V$4))</f>
        <v>0</v>
      </c>
      <c r="W39" s="326" cm="1">
        <f t="array" ref="W39">_xlfn.IFS(AND($A39&gt;$DA$6,$B39&gt;$DB$6),0,AND($W$2=$DA$2,$A39&gt;$DA$4),IF($Y38=0,0,(W38-((W38/$Y38)*$BY38))*(1+$DH$2)),AND($W$2=$DB$2,$B39&gt;$DB$4),IF($Y38=0,0,(W38-((W38/$Y38)*$BY38))*(1+$DH$2)),AND($W$2=$DA$2,OR($A39&gt;$DA$3,$A39&gt;$DA$6)),(W38*(1+$DH$1)),AND($W$2=$DB$2,OR($B39&gt;$DB$3,$B39&gt;$DB$6)),(W38*(1+$DH$1)),AND($W$2=$DA$2,$A39&lt;=$DA$3,$A39&lt;=$DA$4,$A39&lt;=$DA$5),(W38*(1+$DH$1))+(W$4),AND($W$2=$DB$2,$B39&lt;=$DB$3,$B39&lt;=$DB$4,$B39&lt;=$DB$5),(W38*(1+$DH$1))+(W$4))</f>
        <v>0</v>
      </c>
      <c r="Y39" s="1">
        <f t="shared" si="18"/>
        <v>0</v>
      </c>
      <c r="Z39" s="2">
        <f t="shared" ref="Z39:Z70" si="37">IF($AK39=0,0,Y39/$AK39)</f>
        <v>0</v>
      </c>
      <c r="AA39" s="375"/>
      <c r="AC39" s="326" cm="1">
        <f t="array" ref="AC39">_xlfn.IFS(AND(A39&gt;DA$6,B39&gt;DB$6),0,AND(A39&gt;DA$4,B39&gt;DB$4),IF(AG38=0,0,(AC38-((AC38/AG38)*CA38))*(1+DH$2)),OR(A39&gt;DA$3,A39&gt;DA$6),AC38*(1+DH$1),A39&gt;DA$4,(AC38-CA38)*(1+DH$2),AND(A39&lt;=DA$3,A39&lt;=DA$4,A39&lt;=DA$6),(AC38*(1+DH$1))+(AC$4))</f>
        <v>0</v>
      </c>
      <c r="AD39" s="375"/>
      <c r="AE39" s="326" cm="1">
        <f t="array" ref="AE39">_xlfn.IFS(AND(A39&gt;DA$6,B39&gt;DB$6),0,AND(A39&gt;DA$4,B39&gt;DB$4),IF(AG38=0,0,(AE38-((AE38/AG38)*CA38))*(1+DH$2)),OR(B39&gt;DB$3,B39&gt;DB$6),AE38*(1+DH$1),B39&gt;DB$4,(AE38-CA38)*(1+DH$2),AND(B39&lt;=DB$3,B39&lt;=DB$4,B39&lt;=DB$6),(AE38*(1+DH$1))+(AE$4))</f>
        <v>0</v>
      </c>
      <c r="AF39" s="375"/>
      <c r="AG39" s="1">
        <f t="shared" si="5"/>
        <v>0</v>
      </c>
      <c r="AH39" s="2">
        <f t="shared" si="20"/>
        <v>0</v>
      </c>
      <c r="AI39" s="14">
        <f t="shared" ref="AI39:AI70" si="38">SUM(AD39,AF39)</f>
        <v>0</v>
      </c>
      <c r="AK39" s="1">
        <f t="shared" si="21"/>
        <v>0</v>
      </c>
      <c r="AL39" s="14">
        <f t="shared" ref="AL39:AL70" si="39">AI39+J39+AA39</f>
        <v>0</v>
      </c>
      <c r="AM39" s="14" t="str">
        <f t="shared" si="23"/>
        <v/>
      </c>
      <c r="AO39" s="15">
        <f t="shared" ref="AO39:AO70" si="40">IF(AK39=0,0,(BH39+BI39+BY39+CA39)/AK39)</f>
        <v>0</v>
      </c>
      <c r="AP39" s="1">
        <f>IF(AND(B39&gt;=$DB$6,A39&gt;=$DA$6),0,AP38*(1+Lookups!C$12))</f>
        <v>0</v>
      </c>
      <c r="AQ39" s="1">
        <f>IF(AND(B39&gt;=$DB$6,A39&gt;=$DA$6),0,AQ38*(1+Lookups!C$12))</f>
        <v>0</v>
      </c>
      <c r="AS39" s="1" cm="1">
        <f t="array" ref="AS39">_xlfn.IFS(OR(AS$6="",AND(A39&gt;=DA$6,B39&gt;=DB$6),AND(A39&lt;DA$4,B39&lt;DB$4)),0,AND(A39=DA$4,DA$4&lt;=DB$4),AS$6,AND(B39=DB$4,DA$4&gt;=DB$4),AS$6,OR(A39&gt;DA$4,B39&gt;DB$4),AS38*(1+Setup!C$103))</f>
        <v>0</v>
      </c>
      <c r="AT39" s="1" cm="1">
        <f t="array" ref="AT39">_xlfn.IFS(OR(AT$6="",AND(A39&gt;=DA$6,B39&gt;=DB$6),AND(A39&lt;DA$4,B39&lt;DB$4)),0,AND(A39=DA$4,DA$4&lt;=DB$4),AT$6,AND(B39=DB$4,DA$4&gt;=DB$4),AT$6,OR(A39&gt;DA$4,B39&gt;DB$4),AT38*(1+Setup!C$103))</f>
        <v>0</v>
      </c>
      <c r="AU39" s="1" cm="1">
        <f t="array" ref="AU39">_xlfn.IFS(OR(AU$6="",AND(A39&gt;=DA$6,B39&gt;=DB$6),AND(A39&lt;DA$4,B39&lt;DB$4)),0,AND(A39=DA$4,DA$4&lt;=DB$4),AU$6,AND(B39=DB$4,DA$4&gt;=DB$4),AU$6,OR(A39&gt;DA$4,B39&gt;DB$4),AU38*(1+Setup!C$103))</f>
        <v>0</v>
      </c>
      <c r="AV39" s="1" cm="1">
        <f t="array" ref="AV39">_xlfn.IFS(OR(AV$6="",AND(A39&gt;=DA$6,B39&gt;=DB$6),AND(A39&lt;DA$4,B39&lt;DB$4)),0,AND(A39=DA$4,DA$4&lt;=DB$4),AV$6,AND(B39=DB$4,DA$4&gt;=DB$4),AV$6,OR(A39&gt;DA$4,B39&gt;DB$4),AV38*(1+Setup!C$103))</f>
        <v>0</v>
      </c>
      <c r="AW39" s="1">
        <f t="shared" ref="AW39:AW70" si="41">SUM(AS39:AV39)</f>
        <v>0</v>
      </c>
      <c r="AY39" s="1" cm="1">
        <f t="array" ref="AY39">_xlfn.IFS(OR(AND(A39&gt;=DA$6,B39&gt;=DB$6),A39&lt;DA$5),0,AND(A39=DA$5,YEAR(C39)&gt;=Lookups!D$89),VLOOKUP(A39,Lookups!B$94:F$102,3),AND(A39=DA$5,YEAR(C39)&lt;Lookups!D$89),VLOOKUP(A39,Lookups!B$94:F$102,2),AND(A39&gt;DA$5,YEAR(C39)=Lookups!D$89),(AY38*Lookups!D$90)*(1+Lookups!C$20),AND(A39&gt;DA$5,YEAR(C39)&lt;&gt;Lookups!D$89),AY38*(1+Lookups!C$20))</f>
        <v>0</v>
      </c>
      <c r="AZ39" s="1" cm="1">
        <f t="array" ref="AZ39">_xlfn.IFS(OR(ISBLANK(Setup!K$91),Setup!K$91=0,AND(A39&gt;=DA$6,B39&gt;=DB$6),B39&lt;DB$5),0,AND(B39=DB$5,YEAR(C39)&gt;=Lookups!D$89),VLOOKUP(B39,Lookups!B$94:F$102,5),AND(B39=DB$5,YEAR(C39)&lt;Lookups!D$89),VLOOKUP(B39,Lookups!B$94:F$102,4),AND(B39&gt;DB$5,YEAR(C39)=Lookups!D$89),(AZ38*Lookups!D$90)*(1+Lookups!C$20),AND(B39&gt;DB$5,YEAR(C39)&lt;&gt;Lookups!D$89),AZ38*(1+Lookups!C$20))</f>
        <v>0</v>
      </c>
      <c r="BA39" s="65">
        <f>IF(OR(AY39&gt;0,AZ39&gt;0),(AY39+AZ39)*Lookups!D$120,0)</f>
        <v>0</v>
      </c>
      <c r="BB39" s="1" cm="1">
        <f t="array" ref="BB39">_xlfn.IFS(AND(A39&lt;DA$4,B39&lt;DB$4),0,OR(_xlfn.XOR(A39&gt;DA$6,B39&gt;DB$6),_xlfn.XOR(A39&gt;=DA$4,B39&gt;=DB$4)),IF(AP39-SUM(AW39,AY39:AZ39)&gt;0,AP39-SUM(AW39,AY39:AZ39),0),AQ39-SUM(AW39,AY39:AZ39)&gt;0, AQ39-SUM(AW39,AY39:AZ39),AQ39-SUM(AW39,AY39:AZ39)&lt;=0,0)</f>
        <v>0</v>
      </c>
      <c r="BD39" s="1" cm="1">
        <f t="array" ref="BD39">_xlfn.IFS(AND(A39&gt;=DA$6,B39&gt;=DB$6),0,AND(A39&gt;=DA$6,B39&gt;=Lookups!C$35),D39/VLOOKUP(B39,Lookups!C$37:D$67,2),A39&lt;Lookups!$C$35,0,A39&gt;=Lookups!C$35,D39/VLOOKUP(A39,Lookups!C$37:D$67,2))</f>
        <v>0</v>
      </c>
      <c r="BE39" s="1" cm="1">
        <f t="array" ref="BE39">_xlfn.IFS(AND(A39&gt;=DA$6,B39&gt;=DB$6),0,AND(B39&gt;=DB$6,A39&gt;=Lookups!C$35),F39/VLOOKUP(A39,Lookups!C$37:D$67,2),B39&lt;Lookups!$C$35,0,B39&gt;=Lookups!C$35,F39/VLOOKUP(B39,Lookups!C$37:D$67,2))</f>
        <v>0</v>
      </c>
      <c r="BF39" s="1" cm="1">
        <f t="array" ref="BF39">_xlfn.IFS($BB39&lt;=0,0,AND(A39&gt;=DA$4,B39&gt;=DB$4,$BB39*I39&lt;(BD39+BE39)),0,AND(A39&gt;=DA$4,B39&gt;=DB$4,H39&gt;=(BB39*I39)-BD39-BE39),(BB39*I39)-BD39-BE39,AND(A39&gt;=DA$4,B39&gt;=DB$4,H39&lt;(BB39*I39)-BD39-BE39),H39,AND(A39&gt;=DA$4,$BB39*I39&lt;(BD39)),0,AND(A39&gt;=DA$4,H39&gt;=(BB39*I39)-BD39),(BB39*I39)-BD39,AND(A39&gt;=DA$4,H39&lt;(BB39*I39)-BD39),H39,AND(B39&gt;=DB$4,$BB39*I39&lt;(BE39)),0,AND(B39&gt;=DB$4,H39&gt;=(BB39*I39)-BE39),(BB39*I39)-BE39,AND(B39&gt;=DB$4,H39&lt;(BB39*I39)-BE39),H39)</f>
        <v>0</v>
      </c>
      <c r="BG39" s="1">
        <f t="shared" si="9"/>
        <v>0</v>
      </c>
      <c r="BH39" s="1" cm="1">
        <f t="array" ref="BH39">_xlfn.IFS(OR(D39=0,A39&lt;DA$4),0,AND(A39&gt;=DA$4,B39&gt;=DB$4,D39&lt;BD39+($BF39*(D39/$H39))+(-$BP39*(D39/$H39))),D39,AND(A39&gt;=DA$4,B39&gt;=DB$4,$BB39&gt;$BG39),BD39+($BF39*(D39/$H39))+(-$BP39*(D39/$H39)),AND(A39&gt;=DA$4,B39&gt;=DB$4,OR(A39&gt;DA$6, B39&gt;DB$6),$AP39-SUM($AW39,$AY39:$AZ39)&lt;0),BD39+($BF39*(D39/$H39))+(-$BP39*(D39/$H39))+(BP39*(D39/$H39)),AND(A39&gt;=DA$4,B39&gt;=DB$4,$AQ39-SUM($AW39,$AY39:$AZ39)&lt;0),BD39+($BF39*(D39/$H39))+(-$BP39*(D39/$H39))+(BP39*(D39/$H39)),AND(A39&gt;=DA$4,D39&lt;BD39+$BF39-$BP39),D39,AND(A39&gt;=DA$4,$AP39-SUM($AW39,$AY39:$AZ39)&lt;0),BD39+($BF39*(D39/$H39))+(-$BP39*(D39/$H39))+(BP39*(D39/$H39)),A39&gt;=DA$4,BD39+$BF39-$BP39)</f>
        <v>0</v>
      </c>
      <c r="BI39" s="1" cm="1">
        <f t="array" ref="BI39">_xlfn.IFS(OR(F39=0,B39&lt;DB$4),0,AND(A39&gt;=DA$4,B39&gt;=DB$4,F39&lt;BE39+($BF39*(F39/$H39))+(-$BP39*(F39/$H39))),F39,AND(A39&gt;=DA$4,B39&gt;=DB$4,$BB39&gt;$BG39),BE39+($BF39*(F39/$H39))+(-$BP39*(F39/$H39)),AND(A39&gt;=DA$4,B39&gt;=DB$4,OR(A39&gt;DA$6, B39&gt;DB$6),$AP39-SUM($AW39,$AY39:$AZ39)&lt;0),BE39+($BF39*(F39/$H39))+(-$BP39*(F39/$H39))+(BP39*(F39/$H39)),AND(A39&gt;=DA$4,B39&gt;=DB$4,$AQ39-SUM($AW39,$AY39:$AZ39)&lt;0),BE39+($BF39*(F39/$H39))+(-$BP39*(F39/$H39))+(BP39*(F39/$H39)),AND(B39&gt;=DB$4,F39&lt;BE39+$BF39-$BP39),F39,AND(B39&gt;=DB$4,$AP39-SUM($AW39,$AY39:$AZ39)&lt;0),BE39+($BF39*(F39/$H39))+(-$BP39*(F39/$H39))+(BP39*(F39/$H39)),B39&gt;=DB$4,BE39+$BF39-$BP39)</f>
        <v>0</v>
      </c>
      <c r="BJ39" s="64" cm="1">
        <f t="array" ref="BJ39">IF(AW39+BA39+BG39&gt;0, AW39+BA39+BG39-_xlfn.IFS(AND(A39&gt;=65,B39&gt;=65),VLOOKUP(Setup!I$4,Lookups!C$133:F$136,4),OR(A39&gt;=65,B39&gt;=65),VLOOKUP(Setup!I$4,Lookups!C$133:E$136,3),AND(A39&lt;65,B39&lt;65),VLOOKUP(Setup!I$4,Lookups!C$133:D$136,2)),0)</f>
        <v>0</v>
      </c>
      <c r="BK39" s="1" cm="1">
        <f t="array" ref="BK39">IF(BJ39&gt;0,_xlfn.IFS(Setup!I$4=Lookups!D$109,-_xlfn.IFS($BJ39&gt;=Lookups!D$157, Lookups!F$157+($BJ39-Lookups!D$157)*Lookups!G$157,$BJ39&gt;=Lookups!D$156, Lookups!F$156+($BJ39-Lookups!D$156)*Lookups!G$156,$BJ39&gt;=Lookups!D$155, Lookups!F$155+($BJ39-Lookups!D$155)*Lookups!G$155,$BJ39&gt;=Lookups!D$154, Lookups!F$154+($BJ39-Lookups!D$154)*Lookups!G$154,$BJ39&gt;=Lookups!D$153, Lookups!F$153+($BJ39-Lookups!D$153)*Lookups!G$153,$BJ39&gt;=Lookups!D$152, Lookups!F$152+($BJ39-Lookups!D$152)*Lookups!G$152,$BJ39&lt;Lookups!D$152,$BJ39*Lookups!G$151),Setup!I$4=Lookups!D$110,-_xlfn.IFS($BJ39&gt;=Lookups!D$167, Lookups!F$167+($BJ39-Lookups!D$167)*Lookups!G$167,$BJ39&gt;=Lookups!D$166, Lookups!F$166+($BJ39-Lookups!D$166)*Lookups!G$166,$BJ39&gt;=Lookups!D$165, Lookups!F$165+($BJ39-Lookups!D$165)*Lookups!G$165,$BJ39&gt;=Lookups!D$164, Lookups!F$164+($BJ39-Lookups!D$164)*Lookups!G$164,$BJ39&gt;=Lookups!D$163, Lookups!F$163+($BJ39-Lookups!D$163)*Lookups!G$163,$BJ39&gt;=Lookups!D$162, Lookups!F$162+($BJ39-Lookups!D$162)*Lookups!G$162,$BJ39&lt;Lookups!D$162,$BJ39*Lookups!G$161),Setup!I$4=Lookups!D$111,-_xlfn.IFS($BJ39&gt;=Lookups!D$177, Lookups!F$177+($BJ39-Lookups!D$177)*Lookups!G$177,$BJ39&gt;=Lookups!D$176, Lookups!F$176+($BJ39-Lookups!D$176)*Lookups!G$176,$BJ39&gt;=Lookups!D$175, Lookups!F$175+($BJ39-Lookups!D$175)*Lookups!G$175,$BJ39&gt;=Lookups!D$174, Lookups!F$174+($BJ39-Lookups!D$174)*Lookups!G$174,$BJ39&gt;=Lookups!D$173, Lookups!F$173+($BJ39-Lookups!D$173)*Lookups!G$173,$BJ39&gt;=Lookups!D$172, Lookups!F$172+($BJ39-Lookups!D$172)*Lookups!G$172,$BJ39&lt;Lookups!D$172,$BJ39*Lookups!G$171), Setup!I$4=Lookups!D$112,-_xlfn.IFS($BJ39&gt;=Lookups!D$187, Lookups!F$187+($BJ39-Lookups!D$187)*Lookups!G$187,$BJ39&gt;=Lookups!D$186, Lookups!F$186+($BJ39-Lookups!D$186)*Lookups!G$186,$BJ39&gt;=Lookups!D$185, Lookups!F$185+($BJ39-Lookups!D$185)*Lookups!G$185,$BJ39&gt;=Lookups!D$184, Lookups!F$184+($BJ39-Lookups!D$184)*Lookups!G$184,$BJ39&gt;=Lookups!D$183, Lookups!F$183+($BJ39-Lookups!D$183)*Lookups!G$183,$BJ39&gt;=Lookups!D$182, Lookups!F$182+($BJ39-Lookups!D$182)*Lookups!G$182,$BJ39&lt;Lookups!D$182,$BJ39*Lookups!G$181)),0)</f>
        <v>0</v>
      </c>
      <c r="BL39" s="18">
        <f t="shared" ref="BL39:BL70" si="42">IF(BJ39=0,0,-BK39/BJ39)</f>
        <v>0</v>
      </c>
      <c r="BM39" s="134">
        <f t="shared" si="24"/>
        <v>0</v>
      </c>
      <c r="BN39" s="134" cm="1">
        <f t="array" aca="1" ref="BN39" ca="1">INDIRECT(Setup!I$6&amp;"!"&amp;"A"&amp;ROW())</f>
        <v>0</v>
      </c>
      <c r="BO39" s="134">
        <f t="shared" si="25"/>
        <v>0</v>
      </c>
      <c r="BP39" s="1">
        <f t="shared" ref="BP39:BP70" si="43">IF(BJ39=0,0,BK39+BM39+BN39)</f>
        <v>0</v>
      </c>
      <c r="BQ39" s="1">
        <f t="shared" si="26"/>
        <v>0</v>
      </c>
      <c r="BS39" s="1">
        <f t="shared" si="27"/>
        <v>0</v>
      </c>
      <c r="BT39" s="1" cm="1">
        <f t="array" ref="BT39">-IF(BS39&gt;0,_xlfn.IFS((AW39+BA39+BG39+BS39)&gt;=VLOOKUP(Setup!I$4,Lookups!C$210:E$213,3),BS39*Lookups!D$203,(AW39+BA39+BG39+BS39)&gt;=VLOOKUP(Setup!I$4,Lookups!C$210:E$213,2),BS39*Lookups!D$197,(AW39+BA39+BG39+BS39)&lt;VLOOKUP(Setup!I$4,Lookups!C$210:E$213,2),0),0)</f>
        <v>0</v>
      </c>
      <c r="BU39" s="18">
        <f t="shared" si="28"/>
        <v>0</v>
      </c>
      <c r="BV39" s="1">
        <f t="shared" si="29"/>
        <v>0</v>
      </c>
      <c r="BW39" s="1" cm="1">
        <f t="array" aca="1" ref="BW39" ca="1">INDIRECT(Setup!I$6&amp;"!"&amp;"A"&amp;ROW()+100)</f>
        <v>0</v>
      </c>
      <c r="BX39" s="1">
        <f t="shared" ref="BX39:BX70" ca="1" si="44">BO39+BT39+BV39+BW39</f>
        <v>0</v>
      </c>
      <c r="BY39" s="1">
        <f t="shared" ref="BY39:BY70" ca="1" si="45">IF(Y39&gt;=BS39-BX39,BS39-BX39,Y39)</f>
        <v>0</v>
      </c>
      <c r="CA39" s="1">
        <f t="shared" ref="CA39:CA40" si="46">IF(AG39=0,0,IF(BQ39&gt;0,IF(AG39&gt;=BQ39*(AG39/(AG39+Y39)),BQ39*(AG39/(AG39+Y39)),AG39),0))</f>
        <v>0</v>
      </c>
      <c r="CC39" s="1" cm="1">
        <f t="array" ref="CC39">_xlfn.IFS(AND(A39&lt;$DA$4,B39&lt;$DB$4),0,AND(AND(A39&gt;=$DA$4,B39&gt;=$DB$4),AND(A39&lt;=$DA$6,B39&lt;=$DB$6),AND(BH39=0,BI39=0)),SUM(AW39,AY39:AZ39,BD39:BF39,BP39,BS39,CA39)-AQ39,AND(AND(A39&gt;=$DA$4,B39&gt;=$DB$4),AND(A39&lt;=$DA$6,B39&lt;=$DB$6)),SUM(AW39,AY39:AZ39,BD39:BF39,BS39,CA39)-AQ39,AND(OR(A39&gt;=$DA$4,B39&gt;=$DB$4),AND(BH39=0,BI39=0)),SUM(AW39,AY39:AZ39,BD39:BF39,BP39,BS39,CA39)-AP39,OR(A39&gt;=$DA$4,B39&gt;=$DB$4),SUM(AW39,AY39:AZ39,BD39:BF39,BS39,CA39)-AP39)</f>
        <v>0</v>
      </c>
      <c r="CD39" s="142" t="str">
        <f t="shared" si="30"/>
        <v/>
      </c>
    </row>
    <row r="40" spans="1:82" x14ac:dyDescent="0.3">
      <c r="A40" s="354">
        <f t="shared" si="31"/>
        <v>33</v>
      </c>
      <c r="B40" s="354">
        <f t="shared" si="32"/>
        <v>33</v>
      </c>
      <c r="C40" s="359">
        <f t="shared" si="33"/>
        <v>12055</v>
      </c>
      <c r="D40" s="326" cm="1">
        <f t="array" ref="D40">_xlfn.IFS(AND(A40&gt;DA$6,B40&gt;DB$6),0,AND(A40&gt;DA$3,A40&lt;=DA$4),D39*(1+DH$1),OR(A40&gt;DA$6,A40&gt;DA$4),(D39-BH39)*(1+DH$2),A40&lt;=DA$4,(D39*(1+DH$1))+(D$4))</f>
        <v>0</v>
      </c>
      <c r="E40" s="375"/>
      <c r="F40" s="326" cm="1">
        <f t="array" ref="F40">_xlfn.IFS(AND(A40&gt;DA$6,B40&gt;DB$6),0,AND(B40&gt;DB$3,B40&lt;=DB$4),F39*(1+DH$1),OR(B40&gt;DB$6,B40&gt;DB$4),(F39-BI39)*(1+DH$2),B40&lt;=DB$4,(F39*(1+DH$1))+(F$4))</f>
        <v>0</v>
      </c>
      <c r="G40" s="375"/>
      <c r="H40" s="1">
        <f t="shared" si="17"/>
        <v>0</v>
      </c>
      <c r="I40" s="2">
        <f t="shared" si="36"/>
        <v>0</v>
      </c>
      <c r="J40" s="14">
        <f t="shared" si="35"/>
        <v>0</v>
      </c>
      <c r="L40" s="402" cm="1">
        <f t="array" ref="L40">_xlfn.IFS(AND(A40&gt;DA$6,B40&gt;DB$6),0,A40&lt;DA$6,0,A40=DA$6,L$4,AND(A40&gt;DA$6,B40&lt;=DB$4),L39*(1+DH$1),AND(A40&gt;DA$6,B40&gt;DB$4),IF(Y39=0,0,(L39-((L39/Y39)*BY39))*(1+DH$2)))</f>
        <v>0</v>
      </c>
      <c r="M40" s="402" cm="1">
        <f t="array" ref="M40">_xlfn.IFS(AND(A40&gt;DA$6,B40&gt;DB$6),0,B40&lt;DB$6,0,B40=DB$6,M$4,AND(B40&gt;DB$6,A40&lt;=DA$4),M39*(1+DH$1),AND(A40&gt;DA$4,B40&gt;DB$6),IF(Y39=0,0,(M39-((M39/Y39)*BY39))*(1+DH$2)))</f>
        <v>0</v>
      </c>
      <c r="N40" s="327"/>
      <c r="O40" s="327" cm="1">
        <f t="array" ref="O40">_xlfn.IFS(OR(ISBLANK(Setup!C$63),Setup!C$63&gt;YEAR(C40),AND(A40&gt;DA$6,B40&gt;DB$6),ISBLANK(Y39)),0,Setup!C$63=YEAR(C40),Setup!C$62,AND(OR(A40&lt;=DA$4,B40&lt;=DB$4),Setup!C$63&lt;YEAR(C40)),O39*(1+DH$1),AND(A40&gt;DA$4,B40&gt;DB$4,Setup!C$63&lt;YEAR(C40)),IF(Y39=0,0,(O39-((O39/Y39)*BY39))*(1+DH$2)))</f>
        <v>0</v>
      </c>
      <c r="P40" s="327" cm="1">
        <f t="array" ref="P40">_xlfn.IFS(OR(ISBLANK(Setup!C$67),Setup!C$67&gt;YEAR(C40),AND(A40&gt;DA$6,B40&gt;DB$6)),0,Setup!C$67=YEAR(C40),Setup!C$66,AND(OR(A40&lt;=DA$4,B40&lt;=DB$4),Setup!C$67&lt;YEAR(C40)),P39*(1+DH$1),AND(A40&gt;DA$4,B40&gt;DB$4,Setup!C$67&lt;YEAR(C40)),IF(Y39=0,0,(P39-((P39/Y39)*BY39))*(1+DH$2)))</f>
        <v>0</v>
      </c>
      <c r="Q40" s="327" cm="1">
        <f t="array" ref="Q40">_xlfn.IFS(OR(ISBLANK(Setup!C$71),Setup!C$71&gt;YEAR(C40),AND(A40&gt;DA$6,B40&gt;DB$6)),0,Setup!C$71=YEAR(C40),Setup!C$70,AND(OR(A40&lt;=DA$4,B40&lt;=DB$4),Setup!C$71&lt;YEAR(C40)),Q39*(1+DH$1),AND(A40&gt;DA$4,B40&gt;DB$4,Setup!C$71&lt;YEAR(C40)),IF(Y39=0,0,(Q39-((Q39/Y39)*BY39))*(1+DH$2)))</f>
        <v>0</v>
      </c>
      <c r="R40" s="327" cm="1">
        <f t="array" ref="R40">_xlfn.IFS(OR(ISBLANK(Setup!C$75),Setup!C$75&gt;YEAR(C40),AND(A40&gt;DA$6,B40&gt;DB$6)),0,Setup!C$75=YEAR(C40),Setup!C$74,AND(OR(A40&lt;=DA$4,B40&lt;=DB$4),Setup!C$75&lt;YEAR(C40)),R39*(1+DH$1),AND(A40&gt;DA$4,B40&gt;DB$4,Setup!C$75&lt;YEAR(C40)),IF(Y39=0,0,(R39-((R39/Y39)*BY39))*(1+DH$2)))</f>
        <v>0</v>
      </c>
      <c r="S40" s="327"/>
      <c r="T40" s="326" cm="1">
        <f t="array" ref="T40">_xlfn.IFS(AND($A40&gt;$DA$6,$B40&gt;$DB$6),0,AND($W$2=$DA$2,$A40&gt;$DA$4),IF($Y39=0,0,(T39-((T39/$Y39)*$BY39))*(1+$DH$2)),AND($W$2=$DB$2,$B40&gt;$DB$4),IF($Y39=0,0,(T39-((T39/$Y39)*$BY39))*(1+$DH$2)),AND($W$2=$DA$2,OR($A40&gt;$DA$3,$A40&gt;$DA$6)),(T39*(1+$DH$1)),AND($W$2=$DB$2,OR($B40&gt;$DB$3,$B40&gt;$DB$6)),(T39*(1+$DH$1)),AND($W$2=$DA$2,$A40&lt;=$DA$3,$A40&lt;=$DA$4,$A40&lt;=$DA$5),(T39*(1+$DH$1))+(T$4),AND($W$2=$DB$2,$B40&lt;=$DB$3,$B40&lt;=$DB$4,$B40&lt;=$DB$5),(T39*(1+$DH$1))+(T$4))</f>
        <v>0</v>
      </c>
      <c r="U40" s="326" cm="1">
        <f t="array" ref="U40">_xlfn.IFS(AND($A40&gt;$DA$6,$B40&gt;$DB$6),0,AND($W$2=$DA$2,$A40&gt;$DA$4),IF($Y39=0,0,(U39-((U39/$Y39)*$BY39))*(1+$DH$2)),AND($W$2=$DB$2,$B40&gt;$DB$4),IF($Y39=0,0,(U39-((U39/$Y39)*$BY39))*(1+$DH$2)),AND($W$2=$DA$2,OR($A40&gt;$DA$3,$A40&gt;$DA$6)),(U39*(1+$DH$1)),AND($W$2=$DB$2,OR($B40&gt;$DB$3,$B40&gt;$DB$6)),(U39*(1+$DH$1)),AND($W$2=$DA$2,$A40&lt;=$DA$3,$A40&lt;=$DA$4,$A40&lt;=$DA$5),(U39*(1+$DH$1))+(U$4),AND($W$2=$DB$2,$B40&lt;=$DB$3,$B40&lt;=$DB$4,$B40&lt;=$DB$5),(U39*(1+$DH$1))+(U$4))</f>
        <v>0</v>
      </c>
      <c r="V40" s="326" cm="1">
        <f t="array" ref="V40">_xlfn.IFS(AND($A40&gt;$DA$6,$B40&gt;$DB$6),0,AND($W$2=$DA$2,$A40&gt;$DA$4),IF($Y39=0,0,(V39-((V39/$Y39)*$BY39))*(1+$DH$2)),AND($W$2=$DB$2,$B40&gt;$DB$4),IF($Y39=0,0,(V39-((V39/$Y39)*$BY39))*(1+$DH$2)),AND($W$2=$DA$2,OR($A40&gt;$DA$3,$A40&gt;$DA$6)),(V39*(1+$DH$1)),AND($W$2=$DB$2,OR($B40&gt;$DB$3,$B40&gt;$DB$6)),(V39*(1+$DH$1)),AND($W$2=$DA$2,$A40&lt;=$DA$3,$A40&lt;=$DA$4,$A40&lt;=$DA$5),(V39*(1+$DH$1))+(V$4),AND($W$2=$DB$2,$B40&lt;=$DB$3,$B40&lt;=$DB$4,$B40&lt;=$DB$5),(V39*(1+$DH$1))+(V$4))</f>
        <v>0</v>
      </c>
      <c r="W40" s="326" cm="1">
        <f t="array" ref="W40">_xlfn.IFS(AND($A40&gt;$DA$6,$B40&gt;$DB$6),0,AND($W$2=$DA$2,$A40&gt;$DA$4),IF($Y39=0,0,(W39-((W39/$Y39)*$BY39))*(1+$DH$2)),AND($W$2=$DB$2,$B40&gt;$DB$4),IF($Y39=0,0,(W39-((W39/$Y39)*$BY39))*(1+$DH$2)),AND($W$2=$DA$2,OR($A40&gt;$DA$3,$A40&gt;$DA$6)),(W39*(1+$DH$1)),AND($W$2=$DB$2,OR($B40&gt;$DB$3,$B40&gt;$DB$6)),(W39*(1+$DH$1)),AND($W$2=$DA$2,$A40&lt;=$DA$3,$A40&lt;=$DA$4,$A40&lt;=$DA$5),(W39*(1+$DH$1))+(W$4),AND($W$2=$DB$2,$B40&lt;=$DB$3,$B40&lt;=$DB$4,$B40&lt;=$DB$5),(W39*(1+$DH$1))+(W$4))</f>
        <v>0</v>
      </c>
      <c r="Y40" s="1">
        <f t="shared" ref="Y40:Y71" si="47">SUM(L40:W40)</f>
        <v>0</v>
      </c>
      <c r="Z40" s="2">
        <f t="shared" si="37"/>
        <v>0</v>
      </c>
      <c r="AA40" s="375"/>
      <c r="AC40" s="326" cm="1">
        <f t="array" ref="AC40">_xlfn.IFS(AND(A40&gt;DA$6,B40&gt;DB$6),0,AND(A40&gt;DA$4,B40&gt;DB$4),IF(AG39=0,0,(AC39-((AC39/AG39)*CA39))*(1+DH$2)),OR(A40&gt;DA$3,A40&gt;DA$6),AC39*(1+DH$1),A40&gt;DA$4,(AC39-CA39)*(1+DH$2),AND(A40&lt;=DA$3,A40&lt;=DA$4,A40&lt;=DA$6),(AC39*(1+DH$1))+(AC$4))</f>
        <v>0</v>
      </c>
      <c r="AD40" s="375"/>
      <c r="AE40" s="326" cm="1">
        <f t="array" ref="AE40">_xlfn.IFS(AND(A40&gt;DA$6,B40&gt;DB$6),0,AND(A40&gt;DA$4,B40&gt;DB$4),IF(AG39=0,0,(AE39-((AE39/AG39)*CA39))*(1+DH$2)),OR(B40&gt;DB$3,B40&gt;DB$6),AE39*(1+DH$1),B40&gt;DB$4,(AE39-CA39)*(1+DH$2),AND(B40&lt;=DB$3,B40&lt;=DB$4,B40&lt;=DB$6),(AE39*(1+DH$1))+(AE$4))</f>
        <v>0</v>
      </c>
      <c r="AF40" s="375"/>
      <c r="AG40" s="1">
        <f t="shared" si="5"/>
        <v>0</v>
      </c>
      <c r="AH40" s="2">
        <f t="shared" ref="AH40:AH71" si="48">IF(AK40=0,0,AG40/AK40)</f>
        <v>0</v>
      </c>
      <c r="AI40" s="14">
        <f t="shared" si="38"/>
        <v>0</v>
      </c>
      <c r="AK40" s="1">
        <f t="shared" ref="AK40:AK71" si="49">AG40+H40+Y40</f>
        <v>0</v>
      </c>
      <c r="AL40" s="14">
        <f t="shared" si="39"/>
        <v>0</v>
      </c>
      <c r="AM40" s="14" t="str">
        <f t="shared" si="23"/>
        <v/>
      </c>
      <c r="AO40" s="15">
        <f t="shared" si="40"/>
        <v>0</v>
      </c>
      <c r="AP40" s="1">
        <f>IF(AND(B40&gt;=$DB$6,A40&gt;=$DA$6),0,AP39*(1+Lookups!C$12))</f>
        <v>0</v>
      </c>
      <c r="AQ40" s="1">
        <f>IF(AND(B40&gt;=$DB$6,A40&gt;=$DA$6),0,AQ39*(1+Lookups!C$12))</f>
        <v>0</v>
      </c>
      <c r="AS40" s="1" cm="1">
        <f t="array" ref="AS40">_xlfn.IFS(OR(AS$6="",AND(A40&gt;=DA$6,B40&gt;=DB$6),AND(A40&lt;DA$4,B40&lt;DB$4)),0,AND(A40=DA$4,DA$4&lt;=DB$4),AS$6,AND(B40=DB$4,DA$4&gt;=DB$4),AS$6,OR(A40&gt;DA$4,B40&gt;DB$4),AS39*(1+Setup!C$103))</f>
        <v>0</v>
      </c>
      <c r="AT40" s="1" cm="1">
        <f t="array" ref="AT40">_xlfn.IFS(OR(AT$6="",AND(A40&gt;=DA$6,B40&gt;=DB$6),AND(A40&lt;DA$4,B40&lt;DB$4)),0,AND(A40=DA$4,DA$4&lt;=DB$4),AT$6,AND(B40=DB$4,DA$4&gt;=DB$4),AT$6,OR(A40&gt;DA$4,B40&gt;DB$4),AT39*(1+Setup!C$103))</f>
        <v>0</v>
      </c>
      <c r="AU40" s="1" cm="1">
        <f t="array" ref="AU40">_xlfn.IFS(OR(AU$6="",AND(A40&gt;=DA$6,B40&gt;=DB$6),AND(A40&lt;DA$4,B40&lt;DB$4)),0,AND(A40=DA$4,DA$4&lt;=DB$4),AU$6,AND(B40=DB$4,DA$4&gt;=DB$4),AU$6,OR(A40&gt;DA$4,B40&gt;DB$4),AU39*(1+Setup!C$103))</f>
        <v>0</v>
      </c>
      <c r="AV40" s="1" cm="1">
        <f t="array" ref="AV40">_xlfn.IFS(OR(AV$6="",AND(A40&gt;=DA$6,B40&gt;=DB$6),AND(A40&lt;DA$4,B40&lt;DB$4)),0,AND(A40=DA$4,DA$4&lt;=DB$4),AV$6,AND(B40=DB$4,DA$4&gt;=DB$4),AV$6,OR(A40&gt;DA$4,B40&gt;DB$4),AV39*(1+Setup!C$103))</f>
        <v>0</v>
      </c>
      <c r="AW40" s="1">
        <f t="shared" si="41"/>
        <v>0</v>
      </c>
      <c r="AY40" s="1" cm="1">
        <f t="array" ref="AY40">_xlfn.IFS(OR(AND(A40&gt;=DA$6,B40&gt;=DB$6),A40&lt;DA$5),0,AND(A40=DA$5,YEAR(C40)&gt;=Lookups!D$89),VLOOKUP(A40,Lookups!B$94:F$102,3),AND(A40=DA$5,YEAR(C40)&lt;Lookups!D$89),VLOOKUP(A40,Lookups!B$94:F$102,2),AND(A40&gt;DA$5,YEAR(C40)=Lookups!D$89),(AY39*Lookups!D$90)*(1+Lookups!C$20),AND(A40&gt;DA$5,YEAR(C40)&lt;&gt;Lookups!D$89),AY39*(1+Lookups!C$20))</f>
        <v>0</v>
      </c>
      <c r="AZ40" s="1" cm="1">
        <f t="array" ref="AZ40">_xlfn.IFS(OR(ISBLANK(Setup!K$91),Setup!K$91=0,AND(A40&gt;=DA$6,B40&gt;=DB$6),B40&lt;DB$5),0,AND(B40=DB$5,YEAR(C40)&gt;=Lookups!D$89),VLOOKUP(B40,Lookups!B$94:F$102,5),AND(B40=DB$5,YEAR(C40)&lt;Lookups!D$89),VLOOKUP(B40,Lookups!B$94:F$102,4),AND(B40&gt;DB$5,YEAR(C40)=Lookups!D$89),(AZ39*Lookups!D$90)*(1+Lookups!C$20),AND(B40&gt;DB$5,YEAR(C40)&lt;&gt;Lookups!D$89),AZ39*(1+Lookups!C$20))</f>
        <v>0</v>
      </c>
      <c r="BA40" s="65">
        <f>IF(OR(AY40&gt;0,AZ40&gt;0),(AY40+AZ40)*Lookups!D$120,0)</f>
        <v>0</v>
      </c>
      <c r="BB40" s="1" cm="1">
        <f t="array" ref="BB40">_xlfn.IFS(AND(A40&lt;DA$4,B40&lt;DB$4),0,OR(_xlfn.XOR(A40&gt;DA$6,B40&gt;DB$6),_xlfn.XOR(A40&gt;=DA$4,B40&gt;=DB$4)),IF(AP40-SUM(AW40,AY40:AZ40)&gt;0,AP40-SUM(AW40,AY40:AZ40),0),AQ40-SUM(AW40,AY40:AZ40)&gt;0, AQ40-SUM(AW40,AY40:AZ40),AQ40-SUM(AW40,AY40:AZ40)&lt;=0,0)</f>
        <v>0</v>
      </c>
      <c r="BD40" s="1" cm="1">
        <f t="array" ref="BD40">_xlfn.IFS(AND(A40&gt;=DA$6,B40&gt;=DB$6),0,AND(A40&gt;=DA$6,B40&gt;=Lookups!C$35),D40/VLOOKUP(B40,Lookups!C$37:D$67,2),A40&lt;Lookups!$C$35,0,A40&gt;=Lookups!C$35,D40/VLOOKUP(A40,Lookups!C$37:D$67,2))</f>
        <v>0</v>
      </c>
      <c r="BE40" s="1" cm="1">
        <f t="array" ref="BE40">_xlfn.IFS(AND(A40&gt;=DA$6,B40&gt;=DB$6),0,AND(B40&gt;=DB$6,A40&gt;=Lookups!C$35),F40/VLOOKUP(A40,Lookups!C$37:D$67,2),B40&lt;Lookups!$C$35,0,B40&gt;=Lookups!C$35,F40/VLOOKUP(B40,Lookups!C$37:D$67,2))</f>
        <v>0</v>
      </c>
      <c r="BF40" s="1" cm="1">
        <f t="array" ref="BF40">_xlfn.IFS($BB40&lt;=0,0,AND(A40&gt;=DA$4,B40&gt;=DB$4,$BB40*I40&lt;(BD40+BE40)),0,AND(A40&gt;=DA$4,B40&gt;=DB$4,H40&gt;=(BB40*I40)-BD40-BE40),(BB40*I40)-BD40-BE40,AND(A40&gt;=DA$4,B40&gt;=DB$4,H40&lt;(BB40*I40)-BD40-BE40),H40,AND(A40&gt;=DA$4,$BB40*I40&lt;(BD40)),0,AND(A40&gt;=DA$4,H40&gt;=(BB40*I40)-BD40),(BB40*I40)-BD40,AND(A40&gt;=DA$4,H40&lt;(BB40*I40)-BD40),H40,AND(B40&gt;=DB$4,$BB40*I40&lt;(BE40)),0,AND(B40&gt;=DB$4,H40&gt;=(BB40*I40)-BE40),(BB40*I40)-BE40,AND(B40&gt;=DB$4,H40&lt;(BB40*I40)-BE40),H40)</f>
        <v>0</v>
      </c>
      <c r="BG40" s="1">
        <f t="shared" si="9"/>
        <v>0</v>
      </c>
      <c r="BH40" s="1" cm="1">
        <f t="array" ref="BH40">_xlfn.IFS(OR(D40=0,A40&lt;DA$4),0,AND(A40&gt;=DA$4,B40&gt;=DB$4,D40&lt;BD40+($BF40*(D40/$H40))+(-$BP40*(D40/$H40))),D40,AND(A40&gt;=DA$4,B40&gt;=DB$4,$BB40&gt;$BG40),BD40+($BF40*(D40/$H40))+(-$BP40*(D40/$H40)),AND(A40&gt;=DA$4,B40&gt;=DB$4,OR(A40&gt;DA$6, B40&gt;DB$6),$AP40-SUM($AW40,$AY40:$AZ40)&lt;0),BD40+($BF40*(D40/$H40))+(-$BP40*(D40/$H40))+(BP40*(D40/$H40)),AND(A40&gt;=DA$4,B40&gt;=DB$4,$AQ40-SUM($AW40,$AY40:$AZ40)&lt;0),BD40+($BF40*(D40/$H40))+(-$BP40*(D40/$H40))+(BP40*(D40/$H40)),AND(A40&gt;=DA$4,D40&lt;BD40+$BF40-$BP40),D40,AND(A40&gt;=DA$4,$AP40-SUM($AW40,$AY40:$AZ40)&lt;0),BD40+($BF40*(D40/$H40))+(-$BP40*(D40/$H40))+(BP40*(D40/$H40)),A40&gt;=DA$4,BD40+$BF40-$BP40)</f>
        <v>0</v>
      </c>
      <c r="BI40" s="1" cm="1">
        <f t="array" ref="BI40">_xlfn.IFS(OR(F40=0,B40&lt;DB$4),0,AND(A40&gt;=DA$4,B40&gt;=DB$4,F40&lt;BE40+($BF40*(F40/$H40))+(-$BP40*(F40/$H40))),F40,AND(A40&gt;=DA$4,B40&gt;=DB$4,$BB40&gt;$BG40),BE40+($BF40*(F40/$H40))+(-$BP40*(F40/$H40)),AND(A40&gt;=DA$4,B40&gt;=DB$4,OR(A40&gt;DA$6, B40&gt;DB$6),$AP40-SUM($AW40,$AY40:$AZ40)&lt;0),BE40+($BF40*(F40/$H40))+(-$BP40*(F40/$H40))+(BP40*(F40/$H40)),AND(A40&gt;=DA$4,B40&gt;=DB$4,$AQ40-SUM($AW40,$AY40:$AZ40)&lt;0),BE40+($BF40*(F40/$H40))+(-$BP40*(F40/$H40))+(BP40*(F40/$H40)),AND(B40&gt;=DB$4,F40&lt;BE40+$BF40-$BP40),F40,AND(B40&gt;=DB$4,$AP40-SUM($AW40,$AY40:$AZ40)&lt;0),BE40+($BF40*(F40/$H40))+(-$BP40*(F40/$H40))+(BP40*(F40/$H40)),B40&gt;=DB$4,BE40+$BF40-$BP40)</f>
        <v>0</v>
      </c>
      <c r="BJ40" s="64" cm="1">
        <f t="array" ref="BJ40">IF(AW40+BA40+BG40&gt;0, AW40+BA40+BG40-_xlfn.IFS(AND(A40&gt;=65,B40&gt;=65),VLOOKUP(Setup!I$4,Lookups!C$133:F$136,4),OR(A40&gt;=65,B40&gt;=65),VLOOKUP(Setup!I$4,Lookups!C$133:E$136,3),AND(A40&lt;65,B40&lt;65),VLOOKUP(Setup!I$4,Lookups!C$133:D$136,2)),0)</f>
        <v>0</v>
      </c>
      <c r="BK40" s="1" cm="1">
        <f t="array" ref="BK40">IF(BJ40&gt;0,_xlfn.IFS(Setup!I$4=Lookups!D$109,-_xlfn.IFS($BJ40&gt;=Lookups!D$157, Lookups!F$157+($BJ40-Lookups!D$157)*Lookups!G$157,$BJ40&gt;=Lookups!D$156, Lookups!F$156+($BJ40-Lookups!D$156)*Lookups!G$156,$BJ40&gt;=Lookups!D$155, Lookups!F$155+($BJ40-Lookups!D$155)*Lookups!G$155,$BJ40&gt;=Lookups!D$154, Lookups!F$154+($BJ40-Lookups!D$154)*Lookups!G$154,$BJ40&gt;=Lookups!D$153, Lookups!F$153+($BJ40-Lookups!D$153)*Lookups!G$153,$BJ40&gt;=Lookups!D$152, Lookups!F$152+($BJ40-Lookups!D$152)*Lookups!G$152,$BJ40&lt;Lookups!D$152,$BJ40*Lookups!G$151),Setup!I$4=Lookups!D$110,-_xlfn.IFS($BJ40&gt;=Lookups!D$167, Lookups!F$167+($BJ40-Lookups!D$167)*Lookups!G$167,$BJ40&gt;=Lookups!D$166, Lookups!F$166+($BJ40-Lookups!D$166)*Lookups!G$166,$BJ40&gt;=Lookups!D$165, Lookups!F$165+($BJ40-Lookups!D$165)*Lookups!G$165,$BJ40&gt;=Lookups!D$164, Lookups!F$164+($BJ40-Lookups!D$164)*Lookups!G$164,$BJ40&gt;=Lookups!D$163, Lookups!F$163+($BJ40-Lookups!D$163)*Lookups!G$163,$BJ40&gt;=Lookups!D$162, Lookups!F$162+($BJ40-Lookups!D$162)*Lookups!G$162,$BJ40&lt;Lookups!D$162,$BJ40*Lookups!G$161),Setup!I$4=Lookups!D$111,-_xlfn.IFS($BJ40&gt;=Lookups!D$177, Lookups!F$177+($BJ40-Lookups!D$177)*Lookups!G$177,$BJ40&gt;=Lookups!D$176, Lookups!F$176+($BJ40-Lookups!D$176)*Lookups!G$176,$BJ40&gt;=Lookups!D$175, Lookups!F$175+($BJ40-Lookups!D$175)*Lookups!G$175,$BJ40&gt;=Lookups!D$174, Lookups!F$174+($BJ40-Lookups!D$174)*Lookups!G$174,$BJ40&gt;=Lookups!D$173, Lookups!F$173+($BJ40-Lookups!D$173)*Lookups!G$173,$BJ40&gt;=Lookups!D$172, Lookups!F$172+($BJ40-Lookups!D$172)*Lookups!G$172,$BJ40&lt;Lookups!D$172,$BJ40*Lookups!G$171), Setup!I$4=Lookups!D$112,-_xlfn.IFS($BJ40&gt;=Lookups!D$187, Lookups!F$187+($BJ40-Lookups!D$187)*Lookups!G$187,$BJ40&gt;=Lookups!D$186, Lookups!F$186+($BJ40-Lookups!D$186)*Lookups!G$186,$BJ40&gt;=Lookups!D$185, Lookups!F$185+($BJ40-Lookups!D$185)*Lookups!G$185,$BJ40&gt;=Lookups!D$184, Lookups!F$184+($BJ40-Lookups!D$184)*Lookups!G$184,$BJ40&gt;=Lookups!D$183, Lookups!F$183+($BJ40-Lookups!D$183)*Lookups!G$183,$BJ40&gt;=Lookups!D$182, Lookups!F$182+($BJ40-Lookups!D$182)*Lookups!G$182,$BJ40&lt;Lookups!D$182,$BJ40*Lookups!G$181)),0)</f>
        <v>0</v>
      </c>
      <c r="BL40" s="18">
        <f t="shared" si="42"/>
        <v>0</v>
      </c>
      <c r="BM40" s="134">
        <f t="shared" si="24"/>
        <v>0</v>
      </c>
      <c r="BN40" s="134" cm="1">
        <f t="array" aca="1" ref="BN40" ca="1">INDIRECT(Setup!I$6&amp;"!"&amp;"A"&amp;ROW())</f>
        <v>0</v>
      </c>
      <c r="BO40" s="134">
        <f t="shared" si="25"/>
        <v>0</v>
      </c>
      <c r="BP40" s="1">
        <f t="shared" si="43"/>
        <v>0</v>
      </c>
      <c r="BQ40" s="1">
        <f t="shared" si="26"/>
        <v>0</v>
      </c>
      <c r="BS40" s="1">
        <f t="shared" ref="BS40:BS71" si="50">IF(Y40=0,0,IF(BQ40&gt;0,IF(Y40&gt;=BQ40*(Y40/(AG40+Y40)),BQ40*(Y40/(AG40+Y40)),Y40),0))</f>
        <v>0</v>
      </c>
      <c r="BT40" s="1" cm="1">
        <f t="array" ref="BT40">-IF(BS40&gt;0,_xlfn.IFS((AW40+BA40+BG40+BS40)&gt;=VLOOKUP(Setup!I$4,Lookups!C$210:E$213,3),BS40*Lookups!D$203,(AW40+BA40+BG40+BS40)&gt;=VLOOKUP(Setup!I$4,Lookups!C$210:E$213,2),BS40*Lookups!D$197,(AW40+BA40+BG40+BS40)&lt;VLOOKUP(Setup!I$4,Lookups!C$210:E$213,2),0),0)</f>
        <v>0</v>
      </c>
      <c r="BU40" s="18">
        <f t="shared" ref="BU40:BU71" si="51">IF(BS40=0,0,-BT40/BS40)</f>
        <v>0</v>
      </c>
      <c r="BV40" s="1">
        <f t="shared" ref="BV40:BV71" si="52">IF(BT40=0,0,(BT40*BU40^2)+(BT40*BU40^3)+(BT40*BU40^4)+(BT40*BU40^5)+(BT40*BU40^6)+(BT40*BU40^7)+(BT40*BU40^8)+(BT40*BU40^9)+(BT40*BU40^10))</f>
        <v>0</v>
      </c>
      <c r="BW40" s="1" cm="1">
        <f t="array" aca="1" ref="BW40" ca="1">INDIRECT(Setup!I$6&amp;"!"&amp;"A"&amp;ROW()+100)</f>
        <v>0</v>
      </c>
      <c r="BX40" s="1">
        <f t="shared" ca="1" si="44"/>
        <v>0</v>
      </c>
      <c r="BY40" s="1">
        <f t="shared" ca="1" si="45"/>
        <v>0</v>
      </c>
      <c r="CA40" s="1">
        <f t="shared" si="46"/>
        <v>0</v>
      </c>
      <c r="CC40" s="1" cm="1">
        <f t="array" ref="CC40">_xlfn.IFS(AND(A40&lt;$DA$4,B40&lt;$DB$4),0,AND(AND(A40&gt;=$DA$4,B40&gt;=$DB$4),AND(A40&lt;=$DA$6,B40&lt;=$DB$6),AND(BH40=0,BI40=0)),SUM(AW40,AY40:AZ40,BD40:BF40,BP40,BS40,CA40)-AQ40,AND(AND(A40&gt;=$DA$4,B40&gt;=$DB$4),AND(A40&lt;=$DA$6,B40&lt;=$DB$6)),SUM(AW40,AY40:AZ40,BD40:BF40,BS40,CA40)-AQ40,AND(OR(A40&gt;=$DA$4,B40&gt;=$DB$4),AND(BH40=0,BI40=0)),SUM(AW40,AY40:AZ40,BD40:BF40,BP40,BS40,CA40)-AP40,OR(A40&gt;=$DA$4,B40&gt;=$DB$4),SUM(AW40,AY40:AZ40,BD40:BF40,BS40,CA40)-AP40)</f>
        <v>0</v>
      </c>
      <c r="CD40" s="142" t="str">
        <f t="shared" si="30"/>
        <v/>
      </c>
    </row>
    <row r="41" spans="1:82" x14ac:dyDescent="0.3">
      <c r="A41" s="354">
        <f t="shared" si="31"/>
        <v>34</v>
      </c>
      <c r="B41" s="354">
        <f t="shared" si="32"/>
        <v>34</v>
      </c>
      <c r="C41" s="359">
        <f t="shared" si="33"/>
        <v>12420</v>
      </c>
      <c r="D41" s="326" cm="1">
        <f t="array" ref="D41">_xlfn.IFS(AND(A41&gt;DA$6,B41&gt;DB$6),0,AND(A41&gt;DA$3,A41&lt;=DA$4),D40*(1+DH$1),OR(A41&gt;DA$6,A41&gt;DA$4),(D40-BH40)*(1+DH$2),A41&lt;=DA$4,(D40*(1+DH$1))+(D$4))</f>
        <v>0</v>
      </c>
      <c r="E41" s="375"/>
      <c r="F41" s="326" cm="1">
        <f t="array" ref="F41">_xlfn.IFS(AND(A41&gt;DA$6,B41&gt;DB$6),0,AND(B41&gt;DB$3,B41&lt;=DB$4),F40*(1+DH$1),OR(B41&gt;DB$6,B41&gt;DB$4),(F40-BI40)*(1+DH$2),B41&lt;=DB$4,(F40*(1+DH$1))+(F$4))</f>
        <v>0</v>
      </c>
      <c r="G41" s="375"/>
      <c r="H41" s="1">
        <f t="shared" si="17"/>
        <v>0</v>
      </c>
      <c r="I41" s="2">
        <f t="shared" si="36"/>
        <v>0</v>
      </c>
      <c r="J41" s="14">
        <f t="shared" si="35"/>
        <v>0</v>
      </c>
      <c r="L41" s="402" cm="1">
        <f t="array" ref="L41">_xlfn.IFS(AND(A41&gt;DA$6,B41&gt;DB$6),0,A41&lt;DA$6,0,A41=DA$6,L$4,AND(A41&gt;DA$6,B41&lt;=DB$4),L40*(1+DH$1),AND(A41&gt;DA$6,B41&gt;DB$4),IF(Y40=0,0,(L40-((L40/Y40)*BY40))*(1+DH$2)))</f>
        <v>0</v>
      </c>
      <c r="M41" s="402" cm="1">
        <f t="array" ref="M41">_xlfn.IFS(AND(A41&gt;DA$6,B41&gt;DB$6),0,B41&lt;DB$6,0,B41=DB$6,M$4,AND(B41&gt;DB$6,A41&lt;=DA$4),M40*(1+DH$1),AND(A41&gt;DA$4,B41&gt;DB$6),IF(Y40=0,0,(M40-((M40/Y40)*BY40))*(1+DH$2)))</f>
        <v>0</v>
      </c>
      <c r="N41" s="327"/>
      <c r="O41" s="327" cm="1">
        <f t="array" ref="O41">_xlfn.IFS(OR(ISBLANK(Setup!C$63),Setup!C$63&gt;YEAR(C41),AND(A41&gt;DA$6,B41&gt;DB$6),ISBLANK(Y40)),0,Setup!C$63=YEAR(C41),Setup!C$62,AND(OR(A41&lt;=DA$4,B41&lt;=DB$4),Setup!C$63&lt;YEAR(C41)),O40*(1+DH$1),AND(A41&gt;DA$4,B41&gt;DB$4,Setup!C$63&lt;YEAR(C41)),IF(Y40=0,0,(O40-((O40/Y40)*BY40))*(1+DH$2)))</f>
        <v>0</v>
      </c>
      <c r="P41" s="327" cm="1">
        <f t="array" ref="P41">_xlfn.IFS(OR(ISBLANK(Setup!C$67),Setup!C$67&gt;YEAR(C41),AND(A41&gt;DA$6,B41&gt;DB$6)),0,Setup!C$67=YEAR(C41),Setup!C$66,AND(OR(A41&lt;=DA$4,B41&lt;=DB$4),Setup!C$67&lt;YEAR(C41)),P40*(1+DH$1),AND(A41&gt;DA$4,B41&gt;DB$4,Setup!C$67&lt;YEAR(C41)),IF(Y40=0,0,(P40-((P40/Y40)*BY40))*(1+DH$2)))</f>
        <v>0</v>
      </c>
      <c r="Q41" s="327" cm="1">
        <f t="array" ref="Q41">_xlfn.IFS(OR(ISBLANK(Setup!C$71),Setup!C$71&gt;YEAR(C41),AND(A41&gt;DA$6,B41&gt;DB$6)),0,Setup!C$71=YEAR(C41),Setup!C$70,AND(OR(A41&lt;=DA$4,B41&lt;=DB$4),Setup!C$71&lt;YEAR(C41)),Q40*(1+DH$1),AND(A41&gt;DA$4,B41&gt;DB$4,Setup!C$71&lt;YEAR(C41)),IF(Y40=0,0,(Q40-((Q40/Y40)*BY40))*(1+DH$2)))</f>
        <v>0</v>
      </c>
      <c r="R41" s="327" cm="1">
        <f t="array" ref="R41">_xlfn.IFS(OR(ISBLANK(Setup!C$75),Setup!C$75&gt;YEAR(C41),AND(A41&gt;DA$6,B41&gt;DB$6)),0,Setup!C$75=YEAR(C41),Setup!C$74,AND(OR(A41&lt;=DA$4,B41&lt;=DB$4),Setup!C$75&lt;YEAR(C41)),R40*(1+DH$1),AND(A41&gt;DA$4,B41&gt;DB$4,Setup!C$75&lt;YEAR(C41)),IF(Y40=0,0,(R40-((R40/Y40)*BY40))*(1+DH$2)))</f>
        <v>0</v>
      </c>
      <c r="S41" s="327"/>
      <c r="T41" s="326" cm="1">
        <f t="array" ref="T41">_xlfn.IFS(AND($A41&gt;$DA$6,$B41&gt;$DB$6),0,AND($W$2=$DA$2,$A41&gt;$DA$4),IF($Y40=0,0,(T40-((T40/$Y40)*$BY40))*(1+$DH$2)),AND($W$2=$DB$2,$B41&gt;$DB$4),IF($Y40=0,0,(T40-((T40/$Y40)*$BY40))*(1+$DH$2)),AND($W$2=$DA$2,OR($A41&gt;$DA$3,$A41&gt;$DA$6)),(T40*(1+$DH$1)),AND($W$2=$DB$2,OR($B41&gt;$DB$3,$B41&gt;$DB$6)),(T40*(1+$DH$1)),AND($W$2=$DA$2,$A41&lt;=$DA$3,$A41&lt;=$DA$4,$A41&lt;=$DA$5),(T40*(1+$DH$1))+(T$4),AND($W$2=$DB$2,$B41&lt;=$DB$3,$B41&lt;=$DB$4,$B41&lt;=$DB$5),(T40*(1+$DH$1))+(T$4))</f>
        <v>0</v>
      </c>
      <c r="U41" s="326" cm="1">
        <f t="array" ref="U41">_xlfn.IFS(AND($A41&gt;$DA$6,$B41&gt;$DB$6),0,AND($W$2=$DA$2,$A41&gt;$DA$4),IF($Y40=0,0,(U40-((U40/$Y40)*$BY40))*(1+$DH$2)),AND($W$2=$DB$2,$B41&gt;$DB$4),IF($Y40=0,0,(U40-((U40/$Y40)*$BY40))*(1+$DH$2)),AND($W$2=$DA$2,OR($A41&gt;$DA$3,$A41&gt;$DA$6)),(U40*(1+$DH$1)),AND($W$2=$DB$2,OR($B41&gt;$DB$3,$B41&gt;$DB$6)),(U40*(1+$DH$1)),AND($W$2=$DA$2,$A41&lt;=$DA$3,$A41&lt;=$DA$4,$A41&lt;=$DA$5),(U40*(1+$DH$1))+(U$4),AND($W$2=$DB$2,$B41&lt;=$DB$3,$B41&lt;=$DB$4,$B41&lt;=$DB$5),(U40*(1+$DH$1))+(U$4))</f>
        <v>0</v>
      </c>
      <c r="V41" s="326" cm="1">
        <f t="array" ref="V41">_xlfn.IFS(AND($A41&gt;$DA$6,$B41&gt;$DB$6),0,AND($W$2=$DA$2,$A41&gt;$DA$4),IF($Y40=0,0,(V40-((V40/$Y40)*$BY40))*(1+$DH$2)),AND($W$2=$DB$2,$B41&gt;$DB$4),IF($Y40=0,0,(V40-((V40/$Y40)*$BY40))*(1+$DH$2)),AND($W$2=$DA$2,OR($A41&gt;$DA$3,$A41&gt;$DA$6)),(V40*(1+$DH$1)),AND($W$2=$DB$2,OR($B41&gt;$DB$3,$B41&gt;$DB$6)),(V40*(1+$DH$1)),AND($W$2=$DA$2,$A41&lt;=$DA$3,$A41&lt;=$DA$4,$A41&lt;=$DA$5),(V40*(1+$DH$1))+(V$4),AND($W$2=$DB$2,$B41&lt;=$DB$3,$B41&lt;=$DB$4,$B41&lt;=$DB$5),(V40*(1+$DH$1))+(V$4))</f>
        <v>0</v>
      </c>
      <c r="W41" s="326" cm="1">
        <f t="array" ref="W41">_xlfn.IFS(AND($A41&gt;$DA$6,$B41&gt;$DB$6),0,AND($W$2=$DA$2,$A41&gt;$DA$4),IF($Y40=0,0,(W40-((W40/$Y40)*$BY40))*(1+$DH$2)),AND($W$2=$DB$2,$B41&gt;$DB$4),IF($Y40=0,0,(W40-((W40/$Y40)*$BY40))*(1+$DH$2)),AND($W$2=$DA$2,OR($A41&gt;$DA$3,$A41&gt;$DA$6)),(W40*(1+$DH$1)),AND($W$2=$DB$2,OR($B41&gt;$DB$3,$B41&gt;$DB$6)),(W40*(1+$DH$1)),AND($W$2=$DA$2,$A41&lt;=$DA$3,$A41&lt;=$DA$4,$A41&lt;=$DA$5),(W40*(1+$DH$1))+(W$4),AND($W$2=$DB$2,$B41&lt;=$DB$3,$B41&lt;=$DB$4,$B41&lt;=$DB$5),(W40*(1+$DH$1))+(W$4))</f>
        <v>0</v>
      </c>
      <c r="Y41" s="1">
        <f t="shared" si="47"/>
        <v>0</v>
      </c>
      <c r="Z41" s="2">
        <f t="shared" si="37"/>
        <v>0</v>
      </c>
      <c r="AA41" s="375"/>
      <c r="AC41" s="326" cm="1">
        <f t="array" ref="AC41">_xlfn.IFS(AND(A41&gt;DA$6,B41&gt;DB$6),0,AND(A41&gt;DA$4,B41&gt;DB$4),IF(AG40=0,0,(AC40-((AC40/AG40)*CA40))*(1+DH$2)),OR(A41&gt;DA$3,A41&gt;DA$6),AC40*(1+DH$1),A41&gt;DA$4,(AC40-CA40)*(1+DH$2),AND(A41&lt;=DA$3,A41&lt;=DA$4,A41&lt;=DA$6),(AC40*(1+DH$1))+(AC$4))</f>
        <v>0</v>
      </c>
      <c r="AD41" s="375"/>
      <c r="AE41" s="326" cm="1">
        <f t="array" ref="AE41">_xlfn.IFS(AND(A41&gt;DA$6,B41&gt;DB$6),0,AND(A41&gt;DA$4,B41&gt;DB$4),IF(AG40=0,0,(AE40-((AE40/AG40)*CA40))*(1+DH$2)),OR(B41&gt;DB$3,B41&gt;DB$6),AE40*(1+DH$1),B41&gt;DB$4,(AE40-CA40)*(1+DH$2),AND(B41&lt;=DB$3,B41&lt;=DB$4,B41&lt;=DB$6),(AE40*(1+DH$1))+(AE$4))</f>
        <v>0</v>
      </c>
      <c r="AF41" s="375"/>
      <c r="AG41" s="1">
        <f t="shared" si="5"/>
        <v>0</v>
      </c>
      <c r="AH41" s="2">
        <f t="shared" si="48"/>
        <v>0</v>
      </c>
      <c r="AI41" s="14">
        <f t="shared" si="38"/>
        <v>0</v>
      </c>
      <c r="AK41" s="1">
        <f t="shared" si="49"/>
        <v>0</v>
      </c>
      <c r="AL41" s="14">
        <f t="shared" si="39"/>
        <v>0</v>
      </c>
      <c r="AM41" s="14" t="str">
        <f t="shared" si="23"/>
        <v/>
      </c>
      <c r="AO41" s="15">
        <f t="shared" si="40"/>
        <v>0</v>
      </c>
      <c r="AP41" s="1">
        <f>IF(AND(B41&gt;=$DB$6,A41&gt;=$DA$6),0,AP40*(1+Lookups!C$12))</f>
        <v>0</v>
      </c>
      <c r="AQ41" s="1">
        <f>IF(AND(B41&gt;=$DB$6,A41&gt;=$DA$6),0,AQ40*(1+Lookups!C$12))</f>
        <v>0</v>
      </c>
      <c r="AS41" s="1" cm="1">
        <f t="array" ref="AS41">_xlfn.IFS(OR(AS$6="",AND(A41&gt;=DA$6,B41&gt;=DB$6),AND(A41&lt;DA$4,B41&lt;DB$4)),0,AND(A41=DA$4,DA$4&lt;=DB$4),AS$6,AND(B41=DB$4,DA$4&gt;=DB$4),AS$6,OR(A41&gt;DA$4,B41&gt;DB$4),AS40*(1+Setup!C$103))</f>
        <v>0</v>
      </c>
      <c r="AT41" s="1" cm="1">
        <f t="array" ref="AT41">_xlfn.IFS(OR(AT$6="",AND(A41&gt;=DA$6,B41&gt;=DB$6),AND(A41&lt;DA$4,B41&lt;DB$4)),0,AND(A41=DA$4,DA$4&lt;=DB$4),AT$6,AND(B41=DB$4,DA$4&gt;=DB$4),AT$6,OR(A41&gt;DA$4,B41&gt;DB$4),AT40*(1+Setup!C$103))</f>
        <v>0</v>
      </c>
      <c r="AU41" s="1" cm="1">
        <f t="array" ref="AU41">_xlfn.IFS(OR(AU$6="",AND(A41&gt;=DA$6,B41&gt;=DB$6),AND(A41&lt;DA$4,B41&lt;DB$4)),0,AND(A41=DA$4,DA$4&lt;=DB$4),AU$6,AND(B41=DB$4,DA$4&gt;=DB$4),AU$6,OR(A41&gt;DA$4,B41&gt;DB$4),AU40*(1+Setup!C$103))</f>
        <v>0</v>
      </c>
      <c r="AV41" s="1" cm="1">
        <f t="array" ref="AV41">_xlfn.IFS(OR(AV$6="",AND(A41&gt;=DA$6,B41&gt;=DB$6),AND(A41&lt;DA$4,B41&lt;DB$4)),0,AND(A41=DA$4,DA$4&lt;=DB$4),AV$6,AND(B41=DB$4,DA$4&gt;=DB$4),AV$6,OR(A41&gt;DA$4,B41&gt;DB$4),AV40*(1+Setup!C$103))</f>
        <v>0</v>
      </c>
      <c r="AW41" s="1">
        <f t="shared" si="41"/>
        <v>0</v>
      </c>
      <c r="AY41" s="1" cm="1">
        <f t="array" ref="AY41">_xlfn.IFS(OR(AND(A41&gt;=DA$6,B41&gt;=DB$6),A41&lt;DA$5),0,AND(A41=DA$5,YEAR(C41)&gt;=Lookups!D$89),VLOOKUP(A41,Lookups!B$94:F$102,3),AND(A41=DA$5,YEAR(C41)&lt;Lookups!D$89),VLOOKUP(A41,Lookups!B$94:F$102,2),AND(A41&gt;DA$5,YEAR(C41)=Lookups!D$89),(AY40*Lookups!D$90)*(1+Lookups!C$20),AND(A41&gt;DA$5,YEAR(C41)&lt;&gt;Lookups!D$89),AY40*(1+Lookups!C$20))</f>
        <v>0</v>
      </c>
      <c r="AZ41" s="1" cm="1">
        <f t="array" ref="AZ41">_xlfn.IFS(OR(ISBLANK(Setup!K$91),Setup!K$91=0,AND(A41&gt;=DA$6,B41&gt;=DB$6),B41&lt;DB$5),0,AND(B41=DB$5,YEAR(C41)&gt;=Lookups!D$89),VLOOKUP(B41,Lookups!B$94:F$102,5),AND(B41=DB$5,YEAR(C41)&lt;Lookups!D$89),VLOOKUP(B41,Lookups!B$94:F$102,4),AND(B41&gt;DB$5,YEAR(C41)=Lookups!D$89),(AZ40*Lookups!D$90)*(1+Lookups!C$20),AND(B41&gt;DB$5,YEAR(C41)&lt;&gt;Lookups!D$89),AZ40*(1+Lookups!C$20))</f>
        <v>0</v>
      </c>
      <c r="BA41" s="65">
        <f>IF(OR(AY41&gt;0,AZ41&gt;0),(AY41+AZ41)*Lookups!D$120,0)</f>
        <v>0</v>
      </c>
      <c r="BB41" s="1" cm="1">
        <f t="array" ref="BB41">_xlfn.IFS(AND(A41&lt;DA$4,B41&lt;DB$4),0,OR(_xlfn.XOR(A41&gt;DA$6,B41&gt;DB$6),_xlfn.XOR(A41&gt;=DA$4,B41&gt;=DB$4)),IF(AP41-SUM(AW41,AY41:AZ41)&gt;0,AP41-SUM(AW41,AY41:AZ41),0),AQ41-SUM(AW41,AY41:AZ41)&gt;0, AQ41-SUM(AW41,AY41:AZ41),AQ41-SUM(AW41,AY41:AZ41)&lt;=0,0)</f>
        <v>0</v>
      </c>
      <c r="BD41" s="1" cm="1">
        <f t="array" ref="BD41">_xlfn.IFS(AND(A41&gt;=DA$6,B41&gt;=DB$6),0,AND(A41&gt;=DA$6,B41&gt;=Lookups!C$35),D41/VLOOKUP(B41,Lookups!C$37:D$67,2),A41&lt;Lookups!$C$35,0,A41&gt;=Lookups!C$35,D41/VLOOKUP(A41,Lookups!C$37:D$67,2))</f>
        <v>0</v>
      </c>
      <c r="BE41" s="1" cm="1">
        <f t="array" ref="BE41">_xlfn.IFS(AND(A41&gt;=DA$6,B41&gt;=DB$6),0,AND(B41&gt;=DB$6,A41&gt;=Lookups!C$35),F41/VLOOKUP(A41,Lookups!C$37:D$67,2),B41&lt;Lookups!$C$35,0,B41&gt;=Lookups!C$35,F41/VLOOKUP(B41,Lookups!C$37:D$67,2))</f>
        <v>0</v>
      </c>
      <c r="BF41" s="1" cm="1">
        <f t="array" ref="BF41">_xlfn.IFS($BB41&lt;=0,0,AND(A41&gt;=DA$4,B41&gt;=DB$4,$BB41*I41&lt;(BD41+BE41)),0,AND(A41&gt;=DA$4,B41&gt;=DB$4,H41&gt;=(BB41*I41)-BD41-BE41),(BB41*I41)-BD41-BE41,AND(A41&gt;=DA$4,B41&gt;=DB$4,H41&lt;(BB41*I41)-BD41-BE41),H41,AND(A41&gt;=DA$4,$BB41*I41&lt;(BD41)),0,AND(A41&gt;=DA$4,H41&gt;=(BB41*I41)-BD41),(BB41*I41)-BD41,AND(A41&gt;=DA$4,H41&lt;(BB41*I41)-BD41),H41,AND(B41&gt;=DB$4,$BB41*I41&lt;(BE41)),0,AND(B41&gt;=DB$4,H41&gt;=(BB41*I41)-BE41),(BB41*I41)-BE41,AND(B41&gt;=DB$4,H41&lt;(BB41*I41)-BE41),H41)</f>
        <v>0</v>
      </c>
      <c r="BG41" s="1">
        <f t="shared" ref="BG41:BG65" si="53">SUM(BD41:BF41)</f>
        <v>0</v>
      </c>
      <c r="BH41" s="1" cm="1">
        <f t="array" ref="BH41">_xlfn.IFS(OR(D41=0,A41&lt;DA$4),0,AND(A41&gt;=DA$4,B41&gt;=DB$4,D41&lt;BD41+($BF41*(D41/$H41))+(-$BP41*(D41/$H41))),D41,AND(A41&gt;=DA$4,B41&gt;=DB$4,$BB41&gt;$BG41),BD41+($BF41*(D41/$H41))+(-$BP41*(D41/$H41)),AND(A41&gt;=DA$4,B41&gt;=DB$4,OR(A41&gt;DA$6, B41&gt;DB$6),$AP41-SUM($AW41,$AY41:$AZ41)&lt;0),BD41+($BF41*(D41/$H41))+(-$BP41*(D41/$H41))+(BP41*(D41/$H41)),AND(A41&gt;=DA$4,B41&gt;=DB$4,$AQ41-SUM($AW41,$AY41:$AZ41)&lt;0),BD41+($BF41*(D41/$H41))+(-$BP41*(D41/$H41))+(BP41*(D41/$H41)),AND(A41&gt;=DA$4,D41&lt;BD41+$BF41-$BP41),D41,AND(A41&gt;=DA$4,$AP41-SUM($AW41,$AY41:$AZ41)&lt;0),BD41+($BF41*(D41/$H41))+(-$BP41*(D41/$H41))+(BP41*(D41/$H41)),A41&gt;=DA$4,BD41+$BF41-$BP41)</f>
        <v>0</v>
      </c>
      <c r="BI41" s="1" cm="1">
        <f t="array" ref="BI41">_xlfn.IFS(OR(F41=0,B41&lt;DB$4),0,AND(A41&gt;=DA$4,B41&gt;=DB$4,F41&lt;BE41+($BF41*(F41/$H41))+(-$BP41*(F41/$H41))),F41,AND(A41&gt;=DA$4,B41&gt;=DB$4,$BB41&gt;$BG41),BE41+($BF41*(F41/$H41))+(-$BP41*(F41/$H41)),AND(A41&gt;=DA$4,B41&gt;=DB$4,OR(A41&gt;DA$6, B41&gt;DB$6),$AP41-SUM($AW41,$AY41:$AZ41)&lt;0),BE41+($BF41*(F41/$H41))+(-$BP41*(F41/$H41))+(BP41*(F41/$H41)),AND(A41&gt;=DA$4,B41&gt;=DB$4,$AQ41-SUM($AW41,$AY41:$AZ41)&lt;0),BE41+($BF41*(F41/$H41))+(-$BP41*(F41/$H41))+(BP41*(F41/$H41)),AND(B41&gt;=DB$4,F41&lt;BE41+$BF41-$BP41),F41,AND(B41&gt;=DB$4,$AP41-SUM($AW41,$AY41:$AZ41)&lt;0),BE41+($BF41*(F41/$H41))+(-$BP41*(F41/$H41))+(BP41*(F41/$H41)),B41&gt;=DB$4,BE41+$BF41-$BP41)</f>
        <v>0</v>
      </c>
      <c r="BJ41" s="64" cm="1">
        <f t="array" ref="BJ41">IF(AW41+BA41+BG41&gt;0, AW41+BA41+BG41-_xlfn.IFS(AND(A41&gt;=65,B41&gt;=65),VLOOKUP(Setup!I$4,Lookups!C$133:F$136,4),OR(A41&gt;=65,B41&gt;=65),VLOOKUP(Setup!I$4,Lookups!C$133:E$136,3),AND(A41&lt;65,B41&lt;65),VLOOKUP(Setup!I$4,Lookups!C$133:D$136,2)),0)</f>
        <v>0</v>
      </c>
      <c r="BK41" s="1" cm="1">
        <f t="array" ref="BK41">IF(BJ41&gt;0,_xlfn.IFS(Setup!I$4=Lookups!D$109,-_xlfn.IFS($BJ41&gt;=Lookups!D$157, Lookups!F$157+($BJ41-Lookups!D$157)*Lookups!G$157,$BJ41&gt;=Lookups!D$156, Lookups!F$156+($BJ41-Lookups!D$156)*Lookups!G$156,$BJ41&gt;=Lookups!D$155, Lookups!F$155+($BJ41-Lookups!D$155)*Lookups!G$155,$BJ41&gt;=Lookups!D$154, Lookups!F$154+($BJ41-Lookups!D$154)*Lookups!G$154,$BJ41&gt;=Lookups!D$153, Lookups!F$153+($BJ41-Lookups!D$153)*Lookups!G$153,$BJ41&gt;=Lookups!D$152, Lookups!F$152+($BJ41-Lookups!D$152)*Lookups!G$152,$BJ41&lt;Lookups!D$152,$BJ41*Lookups!G$151),Setup!I$4=Lookups!D$110,-_xlfn.IFS($BJ41&gt;=Lookups!D$167, Lookups!F$167+($BJ41-Lookups!D$167)*Lookups!G$167,$BJ41&gt;=Lookups!D$166, Lookups!F$166+($BJ41-Lookups!D$166)*Lookups!G$166,$BJ41&gt;=Lookups!D$165, Lookups!F$165+($BJ41-Lookups!D$165)*Lookups!G$165,$BJ41&gt;=Lookups!D$164, Lookups!F$164+($BJ41-Lookups!D$164)*Lookups!G$164,$BJ41&gt;=Lookups!D$163, Lookups!F$163+($BJ41-Lookups!D$163)*Lookups!G$163,$BJ41&gt;=Lookups!D$162, Lookups!F$162+($BJ41-Lookups!D$162)*Lookups!G$162,$BJ41&lt;Lookups!D$162,$BJ41*Lookups!G$161),Setup!I$4=Lookups!D$111,-_xlfn.IFS($BJ41&gt;=Lookups!D$177, Lookups!F$177+($BJ41-Lookups!D$177)*Lookups!G$177,$BJ41&gt;=Lookups!D$176, Lookups!F$176+($BJ41-Lookups!D$176)*Lookups!G$176,$BJ41&gt;=Lookups!D$175, Lookups!F$175+($BJ41-Lookups!D$175)*Lookups!G$175,$BJ41&gt;=Lookups!D$174, Lookups!F$174+($BJ41-Lookups!D$174)*Lookups!G$174,$BJ41&gt;=Lookups!D$173, Lookups!F$173+($BJ41-Lookups!D$173)*Lookups!G$173,$BJ41&gt;=Lookups!D$172, Lookups!F$172+($BJ41-Lookups!D$172)*Lookups!G$172,$BJ41&lt;Lookups!D$172,$BJ41*Lookups!G$171), Setup!I$4=Lookups!D$112,-_xlfn.IFS($BJ41&gt;=Lookups!D$187, Lookups!F$187+($BJ41-Lookups!D$187)*Lookups!G$187,$BJ41&gt;=Lookups!D$186, Lookups!F$186+($BJ41-Lookups!D$186)*Lookups!G$186,$BJ41&gt;=Lookups!D$185, Lookups!F$185+($BJ41-Lookups!D$185)*Lookups!G$185,$BJ41&gt;=Lookups!D$184, Lookups!F$184+($BJ41-Lookups!D$184)*Lookups!G$184,$BJ41&gt;=Lookups!D$183, Lookups!F$183+($BJ41-Lookups!D$183)*Lookups!G$183,$BJ41&gt;=Lookups!D$182, Lookups!F$182+($BJ41-Lookups!D$182)*Lookups!G$182,$BJ41&lt;Lookups!D$182,$BJ41*Lookups!G$181)),0)</f>
        <v>0</v>
      </c>
      <c r="BL41" s="18">
        <f t="shared" ref="BL41:BL65" si="54">IF(BJ41=0,0,-BK41/BJ41)</f>
        <v>0</v>
      </c>
      <c r="BM41" s="134">
        <f t="shared" ref="BM41:BM65" si="55">IF(BK41=0,0,(BK41*BL41^2)+(BK41*BL41^3)+(BK41*BL41^4)+(BK41*BL41^5)+(BK41*BL41^6)+(BK41*BL41^7)+(BK41*BL41^8)+(BK41*BL41^9)+(BK41*BL41^10))</f>
        <v>0</v>
      </c>
      <c r="BN41" s="134" cm="1">
        <f t="array" aca="1" ref="BN41" ca="1">INDIRECT(Setup!I$6&amp;"!"&amp;"A"&amp;ROW())</f>
        <v>0</v>
      </c>
      <c r="BO41" s="134">
        <f t="shared" ref="BO41:BO65" si="56">IF(SUM(AW41,AY41:AZ41,BH41:BI41)-BG41+BP41&gt;0,0,SUM(AW41,BH41:BI41)-BG41+BP41)</f>
        <v>0</v>
      </c>
      <c r="BP41" s="1">
        <f t="shared" ref="BP41:BP65" si="57">IF(BJ41=0,0,BK41+BM41+BN41)</f>
        <v>0</v>
      </c>
      <c r="BQ41" s="1">
        <f t="shared" ref="BQ41:BQ65" si="58">IF(AND(BH41=0,BI41=0),BB41-BP41,BB41-BG41)</f>
        <v>0</v>
      </c>
      <c r="BS41" s="1">
        <f>IF(Y41=0,0,IF(BQ41&gt;0,IF(Y41&gt;=BQ41*(Y41/(AG41+Y41)),BQ41*(Y41/(AG41+Y41)),Y41),0))</f>
        <v>0</v>
      </c>
      <c r="BT41" s="1" cm="1">
        <f t="array" ref="BT41">-IF(BS41&gt;0,_xlfn.IFS((AW41+BA41+BG41+BS41)&gt;=VLOOKUP(Setup!I$4,Lookups!C$210:E$213,3),BS41*Lookups!D$203,(AW41+BA41+BG41+BS41)&gt;=VLOOKUP(Setup!I$4,Lookups!C$210:E$213,2),BS41*Lookups!D$197,(AW41+BA41+BG41+BS41)&lt;VLOOKUP(Setup!I$4,Lookups!C$210:E$213,2),0),0)</f>
        <v>0</v>
      </c>
      <c r="BU41" s="18">
        <f t="shared" si="51"/>
        <v>0</v>
      </c>
      <c r="BV41" s="1">
        <f t="shared" si="52"/>
        <v>0</v>
      </c>
      <c r="BW41" s="1" cm="1">
        <f t="array" aca="1" ref="BW41" ca="1">INDIRECT(Setup!I$6&amp;"!"&amp;"A"&amp;ROW()+100)</f>
        <v>0</v>
      </c>
      <c r="BX41" s="1">
        <f t="shared" ca="1" si="44"/>
        <v>0</v>
      </c>
      <c r="BY41" s="1">
        <f t="shared" ca="1" si="45"/>
        <v>0</v>
      </c>
      <c r="CA41" s="1">
        <f t="shared" ref="CA41:CA72" si="59">IF(AG41=0,0,IF(BQ41&gt;0,IF(AG41&gt;=BQ41*(AG41/(AG41+Y41)),BQ41*(AG41/(AG41+Y41)),AG41),0))</f>
        <v>0</v>
      </c>
      <c r="CC41" s="1" cm="1">
        <f t="array" ref="CC41">_xlfn.IFS(AND(A41&lt;$DA$4,B41&lt;$DB$4),0,AND(AND(A41&gt;=$DA$4,B41&gt;=$DB$4),AND(A41&lt;=$DA$6,B41&lt;=$DB$6),AND(BH41=0,BI41=0)),SUM(AW41,AY41:AZ41,BD41:BF41,BP41,BS41,CA41)-AQ41,AND(AND(A41&gt;=$DA$4,B41&gt;=$DB$4),AND(A41&lt;=$DA$6,B41&lt;=$DB$6)),SUM(AW41,AY41:AZ41,BD41:BF41,BS41,CA41)-AQ41,AND(OR(A41&gt;=$DA$4,B41&gt;=$DB$4),AND(BH41=0,BI41=0)),SUM(AW41,AY41:AZ41,BD41:BF41,BP41,BS41,CA41)-AP41,OR(A41&gt;=$DA$4,B41&gt;=$DB$4),SUM(AW41,AY41:AZ41,BD41:BF41,BS41,CA41)-AP41)</f>
        <v>0</v>
      </c>
      <c r="CD41" s="142" t="str">
        <f t="shared" si="30"/>
        <v/>
      </c>
    </row>
    <row r="42" spans="1:82" x14ac:dyDescent="0.3">
      <c r="A42" s="354">
        <f t="shared" si="31"/>
        <v>35</v>
      </c>
      <c r="B42" s="354">
        <f t="shared" si="32"/>
        <v>35</v>
      </c>
      <c r="C42" s="359">
        <f t="shared" si="33"/>
        <v>12785</v>
      </c>
      <c r="D42" s="326" cm="1">
        <f t="array" ref="D42">_xlfn.IFS(AND(A42&gt;DA$6,B42&gt;DB$6),0,AND(A42&gt;DA$3,A42&lt;=DA$4),D41*(1+DH$1),OR(A42&gt;DA$6,A42&gt;DA$4),(D41-BH41)*(1+DH$2),A42&lt;=DA$4,(D41*(1+DH$1))+(D$4))</f>
        <v>0</v>
      </c>
      <c r="E42" s="375"/>
      <c r="F42" s="326" cm="1">
        <f t="array" ref="F42">_xlfn.IFS(AND(A42&gt;DA$6,B42&gt;DB$6),0,AND(B42&gt;DB$3,B42&lt;=DB$4),F41*(1+DH$1),OR(B42&gt;DB$6,B42&gt;DB$4),(F41-BI41)*(1+DH$2),B42&lt;=DB$4,(F41*(1+DH$1))+(F$4))</f>
        <v>0</v>
      </c>
      <c r="G42" s="375"/>
      <c r="H42" s="1">
        <f t="shared" ref="H42:H65" si="60">SUM(D42,F42)</f>
        <v>0</v>
      </c>
      <c r="I42" s="2">
        <f t="shared" si="36"/>
        <v>0</v>
      </c>
      <c r="J42" s="14">
        <f t="shared" si="35"/>
        <v>0</v>
      </c>
      <c r="L42" s="402" cm="1">
        <f t="array" ref="L42">_xlfn.IFS(AND(A42&gt;DA$6,B42&gt;DB$6),0,A42&lt;DA$6,0,A42=DA$6,L$4,AND(A42&gt;DA$6,B42&lt;=DB$4),L41*(1+DH$1),AND(A42&gt;DA$6,B42&gt;DB$4),IF(Y41=0,0,(L41-((L41/Y41)*BY41))*(1+DH$2)))</f>
        <v>0</v>
      </c>
      <c r="M42" s="402" cm="1">
        <f t="array" ref="M42">_xlfn.IFS(AND(A42&gt;DA$6,B42&gt;DB$6),0,B42&lt;DB$6,0,B42=DB$6,M$4,AND(B42&gt;DB$6,A42&lt;=DA$4),M41*(1+DH$1),AND(A42&gt;DA$4,B42&gt;DB$6),IF(Y41=0,0,(M41-((M41/Y41)*BY41))*(1+DH$2)))</f>
        <v>0</v>
      </c>
      <c r="N42" s="327"/>
      <c r="O42" s="327" cm="1">
        <f t="array" ref="O42">_xlfn.IFS(OR(ISBLANK(Setup!C$63),Setup!C$63&gt;YEAR(C42),AND(A42&gt;DA$6,B42&gt;DB$6),ISBLANK(Y41)),0,Setup!C$63=YEAR(C42),Setup!C$62,AND(OR(A42&lt;=DA$4,B42&lt;=DB$4),Setup!C$63&lt;YEAR(C42)),O41*(1+DH$1),AND(A42&gt;DA$4,B42&gt;DB$4,Setup!C$63&lt;YEAR(C42)),IF(Y41=0,0,(O41-((O41/Y41)*BY41))*(1+DH$2)))</f>
        <v>0</v>
      </c>
      <c r="P42" s="327" cm="1">
        <f t="array" ref="P42">_xlfn.IFS(OR(ISBLANK(Setup!C$67),Setup!C$67&gt;YEAR(C42),AND(A42&gt;DA$6,B42&gt;DB$6)),0,Setup!C$67=YEAR(C42),Setup!C$66,AND(OR(A42&lt;=DA$4,B42&lt;=DB$4),Setup!C$67&lt;YEAR(C42)),P41*(1+DH$1),AND(A42&gt;DA$4,B42&gt;DB$4,Setup!C$67&lt;YEAR(C42)),IF(Y41=0,0,(P41-((P41/Y41)*BY41))*(1+DH$2)))</f>
        <v>0</v>
      </c>
      <c r="Q42" s="327" cm="1">
        <f t="array" ref="Q42">_xlfn.IFS(OR(ISBLANK(Setup!C$71),Setup!C$71&gt;YEAR(C42),AND(A42&gt;DA$6,B42&gt;DB$6)),0,Setup!C$71=YEAR(C42),Setup!C$70,AND(OR(A42&lt;=DA$4,B42&lt;=DB$4),Setup!C$71&lt;YEAR(C42)),Q41*(1+DH$1),AND(A42&gt;DA$4,B42&gt;DB$4,Setup!C$71&lt;YEAR(C42)),IF(Y41=0,0,(Q41-((Q41/Y41)*BY41))*(1+DH$2)))</f>
        <v>0</v>
      </c>
      <c r="R42" s="327" cm="1">
        <f t="array" ref="R42">_xlfn.IFS(OR(ISBLANK(Setup!C$75),Setup!C$75&gt;YEAR(C42),AND(A42&gt;DA$6,B42&gt;DB$6)),0,Setup!C$75=YEAR(C42),Setup!C$74,AND(OR(A42&lt;=DA$4,B42&lt;=DB$4),Setup!C$75&lt;YEAR(C42)),R41*(1+DH$1),AND(A42&gt;DA$4,B42&gt;DB$4,Setup!C$75&lt;YEAR(C42)),IF(Y41=0,0,(R41-((R41/Y41)*BY41))*(1+DH$2)))</f>
        <v>0</v>
      </c>
      <c r="S42" s="327"/>
      <c r="T42" s="326" cm="1">
        <f t="array" ref="T42">_xlfn.IFS(AND($A42&gt;$DA$6,$B42&gt;$DB$6),0,AND($W$2=$DA$2,$A42&gt;$DA$4),IF($Y41=0,0,(T41-((T41/$Y41)*$BY41))*(1+$DH$2)),AND($W$2=$DB$2,$B42&gt;$DB$4),IF($Y41=0,0,(T41-((T41/$Y41)*$BY41))*(1+$DH$2)),AND($W$2=$DA$2,OR($A42&gt;$DA$3,$A42&gt;$DA$6)),(T41*(1+$DH$1)),AND($W$2=$DB$2,OR($B42&gt;$DB$3,$B42&gt;$DB$6)),(T41*(1+$DH$1)),AND($W$2=$DA$2,$A42&lt;=$DA$3,$A42&lt;=$DA$4,$A42&lt;=$DA$5),(T41*(1+$DH$1))+(T$4),AND($W$2=$DB$2,$B42&lt;=$DB$3,$B42&lt;=$DB$4,$B42&lt;=$DB$5),(T41*(1+$DH$1))+(T$4))</f>
        <v>0</v>
      </c>
      <c r="U42" s="326" cm="1">
        <f t="array" ref="U42">_xlfn.IFS(AND($A42&gt;$DA$6,$B42&gt;$DB$6),0,AND($W$2=$DA$2,$A42&gt;$DA$4),IF($Y41=0,0,(U41-((U41/$Y41)*$BY41))*(1+$DH$2)),AND($W$2=$DB$2,$B42&gt;$DB$4),IF($Y41=0,0,(U41-((U41/$Y41)*$BY41))*(1+$DH$2)),AND($W$2=$DA$2,OR($A42&gt;$DA$3,$A42&gt;$DA$6)),(U41*(1+$DH$1)),AND($W$2=$DB$2,OR($B42&gt;$DB$3,$B42&gt;$DB$6)),(U41*(1+$DH$1)),AND($W$2=$DA$2,$A42&lt;=$DA$3,$A42&lt;=$DA$4,$A42&lt;=$DA$5),(U41*(1+$DH$1))+(U$4),AND($W$2=$DB$2,$B42&lt;=$DB$3,$B42&lt;=$DB$4,$B42&lt;=$DB$5),(U41*(1+$DH$1))+(U$4))</f>
        <v>0</v>
      </c>
      <c r="V42" s="326" cm="1">
        <f t="array" ref="V42">_xlfn.IFS(AND($A42&gt;$DA$6,$B42&gt;$DB$6),0,AND($W$2=$DA$2,$A42&gt;$DA$4),IF($Y41=0,0,(V41-((V41/$Y41)*$BY41))*(1+$DH$2)),AND($W$2=$DB$2,$B42&gt;$DB$4),IF($Y41=0,0,(V41-((V41/$Y41)*$BY41))*(1+$DH$2)),AND($W$2=$DA$2,OR($A42&gt;$DA$3,$A42&gt;$DA$6)),(V41*(1+$DH$1)),AND($W$2=$DB$2,OR($B42&gt;$DB$3,$B42&gt;$DB$6)),(V41*(1+$DH$1)),AND($W$2=$DA$2,$A42&lt;=$DA$3,$A42&lt;=$DA$4,$A42&lt;=$DA$5),(V41*(1+$DH$1))+(V$4),AND($W$2=$DB$2,$B42&lt;=$DB$3,$B42&lt;=$DB$4,$B42&lt;=$DB$5),(V41*(1+$DH$1))+(V$4))</f>
        <v>0</v>
      </c>
      <c r="W42" s="326" cm="1">
        <f t="array" ref="W42">_xlfn.IFS(AND($A42&gt;$DA$6,$B42&gt;$DB$6),0,AND($W$2=$DA$2,$A42&gt;$DA$4),IF($Y41=0,0,(W41-((W41/$Y41)*$BY41))*(1+$DH$2)),AND($W$2=$DB$2,$B42&gt;$DB$4),IF($Y41=0,0,(W41-((W41/$Y41)*$BY41))*(1+$DH$2)),AND($W$2=$DA$2,OR($A42&gt;$DA$3,$A42&gt;$DA$6)),(W41*(1+$DH$1)),AND($W$2=$DB$2,OR($B42&gt;$DB$3,$B42&gt;$DB$6)),(W41*(1+$DH$1)),AND($W$2=$DA$2,$A42&lt;=$DA$3,$A42&lt;=$DA$4,$A42&lt;=$DA$5),(W41*(1+$DH$1))+(W$4),AND($W$2=$DB$2,$B42&lt;=$DB$3,$B42&lt;=$DB$4,$B42&lt;=$DB$5),(W41*(1+$DH$1))+(W$4))</f>
        <v>0</v>
      </c>
      <c r="Y42" s="1">
        <f t="shared" si="47"/>
        <v>0</v>
      </c>
      <c r="Z42" s="2">
        <f t="shared" si="37"/>
        <v>0</v>
      </c>
      <c r="AA42" s="375"/>
      <c r="AC42" s="326" cm="1">
        <f t="array" ref="AC42">_xlfn.IFS(AND(A42&gt;DA$6,B42&gt;DB$6),0,AND(A42&gt;DA$4,B42&gt;DB$4),IF(AG41=0,0,(AC41-((AC41/AG41)*CA41))*(1+DH$2)),OR(A42&gt;DA$3,A42&gt;DA$6),AC41*(1+DH$1),A42&gt;DA$4,(AC41-CA41)*(1+DH$2),AND(A42&lt;=DA$3,A42&lt;=DA$4,A42&lt;=DA$6),(AC41*(1+DH$1))+(AC$4))</f>
        <v>0</v>
      </c>
      <c r="AD42" s="375"/>
      <c r="AE42" s="326" cm="1">
        <f t="array" ref="AE42">_xlfn.IFS(AND(A42&gt;DA$6,B42&gt;DB$6),0,AND(A42&gt;DA$4,B42&gt;DB$4),IF(AG41=0,0,(AE41-((AE41/AG41)*CA41))*(1+DH$2)),OR(B42&gt;DB$3,B42&gt;DB$6),AE41*(1+DH$1),B42&gt;DB$4,(AE41-CA41)*(1+DH$2),AND(B42&lt;=DB$3,B42&lt;=DB$4,B42&lt;=DB$6),(AE41*(1+DH$1))+(AE$4))</f>
        <v>0</v>
      </c>
      <c r="AF42" s="375"/>
      <c r="AG42" s="1">
        <f t="shared" ref="AG42:AG73" si="61">SUM(AC42,AE42)</f>
        <v>0</v>
      </c>
      <c r="AH42" s="2">
        <f t="shared" si="48"/>
        <v>0</v>
      </c>
      <c r="AI42" s="14">
        <f t="shared" si="38"/>
        <v>0</v>
      </c>
      <c r="AK42" s="1">
        <f t="shared" si="49"/>
        <v>0</v>
      </c>
      <c r="AL42" s="14">
        <f t="shared" si="39"/>
        <v>0</v>
      </c>
      <c r="AM42" s="14" t="str">
        <f t="shared" si="23"/>
        <v/>
      </c>
      <c r="AO42" s="15">
        <f t="shared" si="40"/>
        <v>0</v>
      </c>
      <c r="AP42" s="1">
        <f>IF(AND(B42&gt;=$DB$6,A42&gt;=$DA$6),0,AP41*(1+Lookups!C$12))</f>
        <v>0</v>
      </c>
      <c r="AQ42" s="1">
        <f>IF(AND(B42&gt;=$DB$6,A42&gt;=$DA$6),0,AQ41*(1+Lookups!C$12))</f>
        <v>0</v>
      </c>
      <c r="AS42" s="1" cm="1">
        <f t="array" ref="AS42">_xlfn.IFS(OR(AS$6="",AND(A42&gt;=DA$6,B42&gt;=DB$6),AND(A42&lt;DA$4,B42&lt;DB$4)),0,AND(A42=DA$4,DA$4&lt;=DB$4),AS$6,AND(B42=DB$4,DA$4&gt;=DB$4),AS$6,OR(A42&gt;DA$4,B42&gt;DB$4),AS41*(1+Setup!C$103))</f>
        <v>0</v>
      </c>
      <c r="AT42" s="1" cm="1">
        <f t="array" ref="AT42">_xlfn.IFS(OR(AT$6="",AND(A42&gt;=DA$6,B42&gt;=DB$6),AND(A42&lt;DA$4,B42&lt;DB$4)),0,AND(A42=DA$4,DA$4&lt;=DB$4),AT$6,AND(B42=DB$4,DA$4&gt;=DB$4),AT$6,OR(A42&gt;DA$4,B42&gt;DB$4),AT41*(1+Setup!C$103))</f>
        <v>0</v>
      </c>
      <c r="AU42" s="1" cm="1">
        <f t="array" ref="AU42">_xlfn.IFS(OR(AU$6="",AND(A42&gt;=DA$6,B42&gt;=DB$6),AND(A42&lt;DA$4,B42&lt;DB$4)),0,AND(A42=DA$4,DA$4&lt;=DB$4),AU$6,AND(B42=DB$4,DA$4&gt;=DB$4),AU$6,OR(A42&gt;DA$4,B42&gt;DB$4),AU41*(1+Setup!C$103))</f>
        <v>0</v>
      </c>
      <c r="AV42" s="1" cm="1">
        <f t="array" ref="AV42">_xlfn.IFS(OR(AV$6="",AND(A42&gt;=DA$6,B42&gt;=DB$6),AND(A42&lt;DA$4,B42&lt;DB$4)),0,AND(A42=DA$4,DA$4&lt;=DB$4),AV$6,AND(B42=DB$4,DA$4&gt;=DB$4),AV$6,OR(A42&gt;DA$4,B42&gt;DB$4),AV41*(1+Setup!C$103))</f>
        <v>0</v>
      </c>
      <c r="AW42" s="1">
        <f t="shared" si="41"/>
        <v>0</v>
      </c>
      <c r="AY42" s="1" cm="1">
        <f t="array" ref="AY42">_xlfn.IFS(OR(AND(A42&gt;=DA$6,B42&gt;=DB$6),A42&lt;DA$5),0,AND(A42=DA$5,YEAR(C42)&gt;=Lookups!D$89),VLOOKUP(A42,Lookups!B$94:F$102,3),AND(A42=DA$5,YEAR(C42)&lt;Lookups!D$89),VLOOKUP(A42,Lookups!B$94:F$102,2),AND(A42&gt;DA$5,YEAR(C42)=Lookups!D$89),(AY41*Lookups!D$90)*(1+Lookups!C$20),AND(A42&gt;DA$5,YEAR(C42)&lt;&gt;Lookups!D$89),AY41*(1+Lookups!C$20))</f>
        <v>0</v>
      </c>
      <c r="AZ42" s="1" cm="1">
        <f t="array" ref="AZ42">_xlfn.IFS(OR(ISBLANK(Setup!K$91),Setup!K$91=0,AND(A42&gt;=DA$6,B42&gt;=DB$6),B42&lt;DB$5),0,AND(B42=DB$5,YEAR(C42)&gt;=Lookups!D$89),VLOOKUP(B42,Lookups!B$94:F$102,5),AND(B42=DB$5,YEAR(C42)&lt;Lookups!D$89),VLOOKUP(B42,Lookups!B$94:F$102,4),AND(B42&gt;DB$5,YEAR(C42)=Lookups!D$89),(AZ41*Lookups!D$90)*(1+Lookups!C$20),AND(B42&gt;DB$5,YEAR(C42)&lt;&gt;Lookups!D$89),AZ41*(1+Lookups!C$20))</f>
        <v>0</v>
      </c>
      <c r="BA42" s="65">
        <f>IF(OR(AY42&gt;0,AZ42&gt;0),(AY42+AZ42)*Lookups!D$120,0)</f>
        <v>0</v>
      </c>
      <c r="BB42" s="1" cm="1">
        <f t="array" ref="BB42">_xlfn.IFS(AND(A42&lt;DA$4,B42&lt;DB$4),0,OR(_xlfn.XOR(A42&gt;DA$6,B42&gt;DB$6),_xlfn.XOR(A42&gt;=DA$4,B42&gt;=DB$4)),IF(AP42-SUM(AW42,AY42:AZ42)&gt;0,AP42-SUM(AW42,AY42:AZ42),0),AQ42-SUM(AW42,AY42:AZ42)&gt;0, AQ42-SUM(AW42,AY42:AZ42),AQ42-SUM(AW42,AY42:AZ42)&lt;=0,0)</f>
        <v>0</v>
      </c>
      <c r="BD42" s="1" cm="1">
        <f t="array" ref="BD42">_xlfn.IFS(AND(A42&gt;=DA$6,B42&gt;=DB$6),0,AND(A42&gt;=DA$6,B42&gt;=Lookups!C$35),D42/VLOOKUP(B42,Lookups!C$37:D$67,2),A42&lt;Lookups!$C$35,0,A42&gt;=Lookups!C$35,D42/VLOOKUP(A42,Lookups!C$37:D$67,2))</f>
        <v>0</v>
      </c>
      <c r="BE42" s="1" cm="1">
        <f t="array" ref="BE42">_xlfn.IFS(AND(A42&gt;=DA$6,B42&gt;=DB$6),0,AND(B42&gt;=DB$6,A42&gt;=Lookups!C$35),F42/VLOOKUP(A42,Lookups!C$37:D$67,2),B42&lt;Lookups!$C$35,0,B42&gt;=Lookups!C$35,F42/VLOOKUP(B42,Lookups!C$37:D$67,2))</f>
        <v>0</v>
      </c>
      <c r="BF42" s="1" cm="1">
        <f t="array" ref="BF42">_xlfn.IFS($BB42&lt;=0,0,AND(A42&gt;=DA$4,B42&gt;=DB$4,$BB42*I42&lt;(BD42+BE42)),0,AND(A42&gt;=DA$4,B42&gt;=DB$4,H42&gt;=(BB42*I42)-BD42-BE42),(BB42*I42)-BD42-BE42,AND(A42&gt;=DA$4,B42&gt;=DB$4,H42&lt;(BB42*I42)-BD42-BE42),H42,AND(A42&gt;=DA$4,$BB42*I42&lt;(BD42)),0,AND(A42&gt;=DA$4,H42&gt;=(BB42*I42)-BD42),(BB42*I42)-BD42,AND(A42&gt;=DA$4,H42&lt;(BB42*I42)-BD42),H42,AND(B42&gt;=DB$4,$BB42*I42&lt;(BE42)),0,AND(B42&gt;=DB$4,H42&gt;=(BB42*I42)-BE42),(BB42*I42)-BE42,AND(B42&gt;=DB$4,H42&lt;(BB42*I42)-BE42),H42)</f>
        <v>0</v>
      </c>
      <c r="BG42" s="1">
        <f t="shared" si="53"/>
        <v>0</v>
      </c>
      <c r="BH42" s="1" cm="1">
        <f t="array" ref="BH42">_xlfn.IFS(OR(D42=0,A42&lt;DA$4),0,AND(A42&gt;=DA$4,B42&gt;=DB$4,D42&lt;BD42+($BF42*(D42/$H42))+(-$BP42*(D42/$H42))),D42,AND(A42&gt;=DA$4,B42&gt;=DB$4,$BB42&gt;$BG42),BD42+($BF42*(D42/$H42))+(-$BP42*(D42/$H42)),AND(A42&gt;=DA$4,B42&gt;=DB$4,OR(A42&gt;DA$6, B42&gt;DB$6),$AP42-SUM($AW42,$AY42:$AZ42)&lt;0),BD42+($BF42*(D42/$H42))+(-$BP42*(D42/$H42))+(BP42*(D42/$H42)),AND(A42&gt;=DA$4,B42&gt;=DB$4,$AQ42-SUM($AW42,$AY42:$AZ42)&lt;0),BD42+($BF42*(D42/$H42))+(-$BP42*(D42/$H42))+(BP42*(D42/$H42)),AND(A42&gt;=DA$4,D42&lt;BD42+$BF42-$BP42),D42,AND(A42&gt;=DA$4,$AP42-SUM($AW42,$AY42:$AZ42)&lt;0),BD42+($BF42*(D42/$H42))+(-$BP42*(D42/$H42))+(BP42*(D42/$H42)),A42&gt;=DA$4,BD42+$BF42-$BP42)</f>
        <v>0</v>
      </c>
      <c r="BI42" s="1" cm="1">
        <f t="array" ref="BI42">_xlfn.IFS(OR(F42=0,B42&lt;DB$4),0,AND(A42&gt;=DA$4,B42&gt;=DB$4,F42&lt;BE42+($BF42*(F42/$H42))+(-$BP42*(F42/$H42))),F42,AND(A42&gt;=DA$4,B42&gt;=DB$4,$BB42&gt;$BG42),BE42+($BF42*(F42/$H42))+(-$BP42*(F42/$H42)),AND(A42&gt;=DA$4,B42&gt;=DB$4,OR(A42&gt;DA$6, B42&gt;DB$6),$AP42-SUM($AW42,$AY42:$AZ42)&lt;0),BE42+($BF42*(F42/$H42))+(-$BP42*(F42/$H42))+(BP42*(F42/$H42)),AND(A42&gt;=DA$4,B42&gt;=DB$4,$AQ42-SUM($AW42,$AY42:$AZ42)&lt;0),BE42+($BF42*(F42/$H42))+(-$BP42*(F42/$H42))+(BP42*(F42/$H42)),AND(B42&gt;=DB$4,F42&lt;BE42+$BF42-$BP42),F42,AND(B42&gt;=DB$4,$AP42-SUM($AW42,$AY42:$AZ42)&lt;0),BE42+($BF42*(F42/$H42))+(-$BP42*(F42/$H42))+(BP42*(F42/$H42)),B42&gt;=DB$4,BE42+$BF42-$BP42)</f>
        <v>0</v>
      </c>
      <c r="BJ42" s="64" cm="1">
        <f t="array" ref="BJ42">IF(AW42+BA42+BG42&gt;0, AW42+BA42+BG42-_xlfn.IFS(AND(A42&gt;=65,B42&gt;=65),VLOOKUP(Setup!I$4,Lookups!C$133:F$136,4),OR(A42&gt;=65,B42&gt;=65),VLOOKUP(Setup!I$4,Lookups!C$133:E$136,3),AND(A42&lt;65,B42&lt;65),VLOOKUP(Setup!I$4,Lookups!C$133:D$136,2)),0)</f>
        <v>0</v>
      </c>
      <c r="BK42" s="1" cm="1">
        <f t="array" ref="BK42">IF(BJ42&gt;0,_xlfn.IFS(Setup!I$4=Lookups!D$109,-_xlfn.IFS($BJ42&gt;=Lookups!D$157, Lookups!F$157+($BJ42-Lookups!D$157)*Lookups!G$157,$BJ42&gt;=Lookups!D$156, Lookups!F$156+($BJ42-Lookups!D$156)*Lookups!G$156,$BJ42&gt;=Lookups!D$155, Lookups!F$155+($BJ42-Lookups!D$155)*Lookups!G$155,$BJ42&gt;=Lookups!D$154, Lookups!F$154+($BJ42-Lookups!D$154)*Lookups!G$154,$BJ42&gt;=Lookups!D$153, Lookups!F$153+($BJ42-Lookups!D$153)*Lookups!G$153,$BJ42&gt;=Lookups!D$152, Lookups!F$152+($BJ42-Lookups!D$152)*Lookups!G$152,$BJ42&lt;Lookups!D$152,$BJ42*Lookups!G$151),Setup!I$4=Lookups!D$110,-_xlfn.IFS($BJ42&gt;=Lookups!D$167, Lookups!F$167+($BJ42-Lookups!D$167)*Lookups!G$167,$BJ42&gt;=Lookups!D$166, Lookups!F$166+($BJ42-Lookups!D$166)*Lookups!G$166,$BJ42&gt;=Lookups!D$165, Lookups!F$165+($BJ42-Lookups!D$165)*Lookups!G$165,$BJ42&gt;=Lookups!D$164, Lookups!F$164+($BJ42-Lookups!D$164)*Lookups!G$164,$BJ42&gt;=Lookups!D$163, Lookups!F$163+($BJ42-Lookups!D$163)*Lookups!G$163,$BJ42&gt;=Lookups!D$162, Lookups!F$162+($BJ42-Lookups!D$162)*Lookups!G$162,$BJ42&lt;Lookups!D$162,$BJ42*Lookups!G$161),Setup!I$4=Lookups!D$111,-_xlfn.IFS($BJ42&gt;=Lookups!D$177, Lookups!F$177+($BJ42-Lookups!D$177)*Lookups!G$177,$BJ42&gt;=Lookups!D$176, Lookups!F$176+($BJ42-Lookups!D$176)*Lookups!G$176,$BJ42&gt;=Lookups!D$175, Lookups!F$175+($BJ42-Lookups!D$175)*Lookups!G$175,$BJ42&gt;=Lookups!D$174, Lookups!F$174+($BJ42-Lookups!D$174)*Lookups!G$174,$BJ42&gt;=Lookups!D$173, Lookups!F$173+($BJ42-Lookups!D$173)*Lookups!G$173,$BJ42&gt;=Lookups!D$172, Lookups!F$172+($BJ42-Lookups!D$172)*Lookups!G$172,$BJ42&lt;Lookups!D$172,$BJ42*Lookups!G$171), Setup!I$4=Lookups!D$112,-_xlfn.IFS($BJ42&gt;=Lookups!D$187, Lookups!F$187+($BJ42-Lookups!D$187)*Lookups!G$187,$BJ42&gt;=Lookups!D$186, Lookups!F$186+($BJ42-Lookups!D$186)*Lookups!G$186,$BJ42&gt;=Lookups!D$185, Lookups!F$185+($BJ42-Lookups!D$185)*Lookups!G$185,$BJ42&gt;=Lookups!D$184, Lookups!F$184+($BJ42-Lookups!D$184)*Lookups!G$184,$BJ42&gt;=Lookups!D$183, Lookups!F$183+($BJ42-Lookups!D$183)*Lookups!G$183,$BJ42&gt;=Lookups!D$182, Lookups!F$182+($BJ42-Lookups!D$182)*Lookups!G$182,$BJ42&lt;Lookups!D$182,$BJ42*Lookups!G$181)),0)</f>
        <v>0</v>
      </c>
      <c r="BL42" s="18">
        <f t="shared" si="54"/>
        <v>0</v>
      </c>
      <c r="BM42" s="134">
        <f t="shared" si="55"/>
        <v>0</v>
      </c>
      <c r="BN42" s="134" cm="1">
        <f t="array" aca="1" ref="BN42" ca="1">INDIRECT(Setup!I$6&amp;"!"&amp;"A"&amp;ROW())</f>
        <v>0</v>
      </c>
      <c r="BO42" s="134">
        <f t="shared" si="56"/>
        <v>0</v>
      </c>
      <c r="BP42" s="1">
        <f t="shared" si="57"/>
        <v>0</v>
      </c>
      <c r="BQ42" s="1">
        <f t="shared" si="58"/>
        <v>0</v>
      </c>
      <c r="BS42" s="1">
        <f t="shared" si="50"/>
        <v>0</v>
      </c>
      <c r="BT42" s="1" cm="1">
        <f t="array" ref="BT42">-IF(BS42&gt;0,_xlfn.IFS((AW42+BA42+BG42+BS42)&gt;=VLOOKUP(Setup!I$4,Lookups!C$210:E$213,3),BS42*Lookups!D$203,(AW42+BA42+BG42+BS42)&gt;=VLOOKUP(Setup!I$4,Lookups!C$210:E$213,2),BS42*Lookups!D$197,(AW42+BA42+BG42+BS42)&lt;VLOOKUP(Setup!I$4,Lookups!C$210:E$213,2),0),0)</f>
        <v>0</v>
      </c>
      <c r="BU42" s="18">
        <f t="shared" si="51"/>
        <v>0</v>
      </c>
      <c r="BV42" s="1">
        <f t="shared" si="52"/>
        <v>0</v>
      </c>
      <c r="BW42" s="1" cm="1">
        <f t="array" aca="1" ref="BW42" ca="1">INDIRECT(Setup!I$6&amp;"!"&amp;"A"&amp;ROW()+100)</f>
        <v>0</v>
      </c>
      <c r="BX42" s="1">
        <f t="shared" ca="1" si="44"/>
        <v>0</v>
      </c>
      <c r="BY42" s="1">
        <f t="shared" ca="1" si="45"/>
        <v>0</v>
      </c>
      <c r="CA42" s="1">
        <f t="shared" si="59"/>
        <v>0</v>
      </c>
      <c r="CC42" s="1" cm="1">
        <f t="array" ref="CC42">_xlfn.IFS(AND(A42&lt;$DA$4,B42&lt;$DB$4),0,AND(AND(A42&gt;=$DA$4,B42&gt;=$DB$4),AND(A42&lt;=$DA$6,B42&lt;=$DB$6),AND(BH42=0,BI42=0)),SUM(AW42,AY42:AZ42,BD42:BF42,BP42,BS42,CA42)-AQ42,AND(AND(A42&gt;=$DA$4,B42&gt;=$DB$4),AND(A42&lt;=$DA$6,B42&lt;=$DB$6)),SUM(AW42,AY42:AZ42,BD42:BF42,BS42,CA42)-AQ42,AND(OR(A42&gt;=$DA$4,B42&gt;=$DB$4),AND(BH42=0,BI42=0)),SUM(AW42,AY42:AZ42,BD42:BF42,BP42,BS42,CA42)-AP42,OR(A42&gt;=$DA$4,B42&gt;=$DB$4),SUM(AW42,AY42:AZ42,BD42:BF42,BS42,CA42)-AP42)</f>
        <v>0</v>
      </c>
      <c r="CD42" s="142" t="str">
        <f t="shared" si="30"/>
        <v/>
      </c>
    </row>
    <row r="43" spans="1:82" x14ac:dyDescent="0.3">
      <c r="A43" s="354">
        <f t="shared" si="31"/>
        <v>36</v>
      </c>
      <c r="B43" s="354">
        <f t="shared" si="32"/>
        <v>36</v>
      </c>
      <c r="C43" s="359">
        <f t="shared" si="33"/>
        <v>13150</v>
      </c>
      <c r="D43" s="326" cm="1">
        <f t="array" ref="D43">_xlfn.IFS(AND(A43&gt;DA$6,B43&gt;DB$6),0,AND(A43&gt;DA$3,A43&lt;=DA$4),D42*(1+DH$1),OR(A43&gt;DA$6,A43&gt;DA$4),(D42-BH42)*(1+DH$2),A43&lt;=DA$4,(D42*(1+DH$1))+(D$4))</f>
        <v>0</v>
      </c>
      <c r="E43" s="375"/>
      <c r="F43" s="326" cm="1">
        <f t="array" ref="F43">_xlfn.IFS(AND(A43&gt;DA$6,B43&gt;DB$6),0,AND(B43&gt;DB$3,B43&lt;=DB$4),F42*(1+DH$1),OR(B43&gt;DB$6,B43&gt;DB$4),(F42-BI42)*(1+DH$2),B43&lt;=DB$4,(F42*(1+DH$1))+(F$4))</f>
        <v>0</v>
      </c>
      <c r="G43" s="375"/>
      <c r="H43" s="1">
        <f t="shared" si="60"/>
        <v>0</v>
      </c>
      <c r="I43" s="2">
        <f t="shared" si="36"/>
        <v>0</v>
      </c>
      <c r="J43" s="14">
        <f t="shared" si="35"/>
        <v>0</v>
      </c>
      <c r="L43" s="402" cm="1">
        <f t="array" ref="L43">_xlfn.IFS(AND(A43&gt;DA$6,B43&gt;DB$6),0,A43&lt;DA$6,0,A43=DA$6,L$4,AND(A43&gt;DA$6,B43&lt;=DB$4),L42*(1+DH$1),AND(A43&gt;DA$6,B43&gt;DB$4),IF(Y42=0,0,(L42-((L42/Y42)*BY42))*(1+DH$2)))</f>
        <v>0</v>
      </c>
      <c r="M43" s="402" cm="1">
        <f t="array" ref="M43">_xlfn.IFS(AND(A43&gt;DA$6,B43&gt;DB$6),0,B43&lt;DB$6,0,B43=DB$6,M$4,AND(B43&gt;DB$6,A43&lt;=DA$4),M42*(1+DH$1),AND(A43&gt;DA$4,B43&gt;DB$6),IF(Y42=0,0,(M42-((M42/Y42)*BY42))*(1+DH$2)))</f>
        <v>0</v>
      </c>
      <c r="N43" s="327"/>
      <c r="O43" s="327" cm="1">
        <f t="array" ref="O43">_xlfn.IFS(OR(ISBLANK(Setup!C$63),Setup!C$63&gt;YEAR(C43),AND(A43&gt;DA$6,B43&gt;DB$6),ISBLANK(Y42)),0,Setup!C$63=YEAR(C43),Setup!C$62,AND(OR(A43&lt;=DA$4,B43&lt;=DB$4),Setup!C$63&lt;YEAR(C43)),O42*(1+DH$1),AND(A43&gt;DA$4,B43&gt;DB$4,Setup!C$63&lt;YEAR(C43)),IF(Y42=0,0,(O42-((O42/Y42)*BY42))*(1+DH$2)))</f>
        <v>0</v>
      </c>
      <c r="P43" s="327" cm="1">
        <f t="array" ref="P43">_xlfn.IFS(OR(ISBLANK(Setup!C$67),Setup!C$67&gt;YEAR(C43),AND(A43&gt;DA$6,B43&gt;DB$6)),0,Setup!C$67=YEAR(C43),Setup!C$66,AND(OR(A43&lt;=DA$4,B43&lt;=DB$4),Setup!C$67&lt;YEAR(C43)),P42*(1+DH$1),AND(A43&gt;DA$4,B43&gt;DB$4,Setup!C$67&lt;YEAR(C43)),IF(Y42=0,0,(P42-((P42/Y42)*BY42))*(1+DH$2)))</f>
        <v>0</v>
      </c>
      <c r="Q43" s="327" cm="1">
        <f t="array" ref="Q43">_xlfn.IFS(OR(ISBLANK(Setup!C$71),Setup!C$71&gt;YEAR(C43),AND(A43&gt;DA$6,B43&gt;DB$6)),0,Setup!C$71=YEAR(C43),Setup!C$70,AND(OR(A43&lt;=DA$4,B43&lt;=DB$4),Setup!C$71&lt;YEAR(C43)),Q42*(1+DH$1),AND(A43&gt;DA$4,B43&gt;DB$4,Setup!C$71&lt;YEAR(C43)),IF(Y42=0,0,(Q42-((Q42/Y42)*BY42))*(1+DH$2)))</f>
        <v>0</v>
      </c>
      <c r="R43" s="327" cm="1">
        <f t="array" ref="R43">_xlfn.IFS(OR(ISBLANK(Setup!C$75),Setup!C$75&gt;YEAR(C43),AND(A43&gt;DA$6,B43&gt;DB$6)),0,Setup!C$75=YEAR(C43),Setup!C$74,AND(OR(A43&lt;=DA$4,B43&lt;=DB$4),Setup!C$75&lt;YEAR(C43)),R42*(1+DH$1),AND(A43&gt;DA$4,B43&gt;DB$4,Setup!C$75&lt;YEAR(C43)),IF(Y42=0,0,(R42-((R42/Y42)*BY42))*(1+DH$2)))</f>
        <v>0</v>
      </c>
      <c r="S43" s="327"/>
      <c r="T43" s="326" cm="1">
        <f t="array" ref="T43">_xlfn.IFS(AND($A43&gt;$DA$6,$B43&gt;$DB$6),0,AND($W$2=$DA$2,$A43&gt;$DA$4),IF($Y42=0,0,(T42-((T42/$Y42)*$BY42))*(1+$DH$2)),AND($W$2=$DB$2,$B43&gt;$DB$4),IF($Y42=0,0,(T42-((T42/$Y42)*$BY42))*(1+$DH$2)),AND($W$2=$DA$2,OR($A43&gt;$DA$3,$A43&gt;$DA$6)),(T42*(1+$DH$1)),AND($W$2=$DB$2,OR($B43&gt;$DB$3,$B43&gt;$DB$6)),(T42*(1+$DH$1)),AND($W$2=$DA$2,$A43&lt;=$DA$3,$A43&lt;=$DA$4,$A43&lt;=$DA$5),(T42*(1+$DH$1))+(T$4),AND($W$2=$DB$2,$B43&lt;=$DB$3,$B43&lt;=$DB$4,$B43&lt;=$DB$5),(T42*(1+$DH$1))+(T$4))</f>
        <v>0</v>
      </c>
      <c r="U43" s="326" cm="1">
        <f t="array" ref="U43">_xlfn.IFS(AND($A43&gt;$DA$6,$B43&gt;$DB$6),0,AND($W$2=$DA$2,$A43&gt;$DA$4),IF($Y42=0,0,(U42-((U42/$Y42)*$BY42))*(1+$DH$2)),AND($W$2=$DB$2,$B43&gt;$DB$4),IF($Y42=0,0,(U42-((U42/$Y42)*$BY42))*(1+$DH$2)),AND($W$2=$DA$2,OR($A43&gt;$DA$3,$A43&gt;$DA$6)),(U42*(1+$DH$1)),AND($W$2=$DB$2,OR($B43&gt;$DB$3,$B43&gt;$DB$6)),(U42*(1+$DH$1)),AND($W$2=$DA$2,$A43&lt;=$DA$3,$A43&lt;=$DA$4,$A43&lt;=$DA$5),(U42*(1+$DH$1))+(U$4),AND($W$2=$DB$2,$B43&lt;=$DB$3,$B43&lt;=$DB$4,$B43&lt;=$DB$5),(U42*(1+$DH$1))+(U$4))</f>
        <v>0</v>
      </c>
      <c r="V43" s="326" cm="1">
        <f t="array" ref="V43">_xlfn.IFS(AND($A43&gt;$DA$6,$B43&gt;$DB$6),0,AND($W$2=$DA$2,$A43&gt;$DA$4),IF($Y42=0,0,(V42-((V42/$Y42)*$BY42))*(1+$DH$2)),AND($W$2=$DB$2,$B43&gt;$DB$4),IF($Y42=0,0,(V42-((V42/$Y42)*$BY42))*(1+$DH$2)),AND($W$2=$DA$2,OR($A43&gt;$DA$3,$A43&gt;$DA$6)),(V42*(1+$DH$1)),AND($W$2=$DB$2,OR($B43&gt;$DB$3,$B43&gt;$DB$6)),(V42*(1+$DH$1)),AND($W$2=$DA$2,$A43&lt;=$DA$3,$A43&lt;=$DA$4,$A43&lt;=$DA$5),(V42*(1+$DH$1))+(V$4),AND($W$2=$DB$2,$B43&lt;=$DB$3,$B43&lt;=$DB$4,$B43&lt;=$DB$5),(V42*(1+$DH$1))+(V$4))</f>
        <v>0</v>
      </c>
      <c r="W43" s="326" cm="1">
        <f t="array" ref="W43">_xlfn.IFS(AND($A43&gt;$DA$6,$B43&gt;$DB$6),0,AND($W$2=$DA$2,$A43&gt;$DA$4),IF($Y42=0,0,(W42-((W42/$Y42)*$BY42))*(1+$DH$2)),AND($W$2=$DB$2,$B43&gt;$DB$4),IF($Y42=0,0,(W42-((W42/$Y42)*$BY42))*(1+$DH$2)),AND($W$2=$DA$2,OR($A43&gt;$DA$3,$A43&gt;$DA$6)),(W42*(1+$DH$1)),AND($W$2=$DB$2,OR($B43&gt;$DB$3,$B43&gt;$DB$6)),(W42*(1+$DH$1)),AND($W$2=$DA$2,$A43&lt;=$DA$3,$A43&lt;=$DA$4,$A43&lt;=$DA$5),(W42*(1+$DH$1))+(W$4),AND($W$2=$DB$2,$B43&lt;=$DB$3,$B43&lt;=$DB$4,$B43&lt;=$DB$5),(W42*(1+$DH$1))+(W$4))</f>
        <v>0</v>
      </c>
      <c r="Y43" s="1">
        <f t="shared" si="47"/>
        <v>0</v>
      </c>
      <c r="Z43" s="2">
        <f t="shared" si="37"/>
        <v>0</v>
      </c>
      <c r="AA43" s="375"/>
      <c r="AC43" s="326" cm="1">
        <f t="array" ref="AC43">_xlfn.IFS(AND(A43&gt;DA$6,B43&gt;DB$6),0,AND(A43&gt;DA$4,B43&gt;DB$4),IF(AG42=0,0,(AC42-((AC42/AG42)*CA42))*(1+DH$2)),OR(A43&gt;DA$3,A43&gt;DA$6),AC42*(1+DH$1),A43&gt;DA$4,(AC42-CA42)*(1+DH$2),AND(A43&lt;=DA$3,A43&lt;=DA$4,A43&lt;=DA$6),(AC42*(1+DH$1))+(AC$4))</f>
        <v>0</v>
      </c>
      <c r="AD43" s="375"/>
      <c r="AE43" s="326" cm="1">
        <f t="array" ref="AE43">_xlfn.IFS(AND(A43&gt;DA$6,B43&gt;DB$6),0,AND(A43&gt;DA$4,B43&gt;DB$4),IF(AG42=0,0,(AE42-((AE42/AG42)*CA42))*(1+DH$2)),OR(B43&gt;DB$3,B43&gt;DB$6),AE42*(1+DH$1),B43&gt;DB$4,(AE42-CA42)*(1+DH$2),AND(B43&lt;=DB$3,B43&lt;=DB$4,B43&lt;=DB$6),(AE42*(1+DH$1))+(AE$4))</f>
        <v>0</v>
      </c>
      <c r="AF43" s="375"/>
      <c r="AG43" s="1">
        <f t="shared" si="61"/>
        <v>0</v>
      </c>
      <c r="AH43" s="2">
        <f t="shared" si="48"/>
        <v>0</v>
      </c>
      <c r="AI43" s="14">
        <f t="shared" si="38"/>
        <v>0</v>
      </c>
      <c r="AK43" s="1">
        <f t="shared" si="49"/>
        <v>0</v>
      </c>
      <c r="AL43" s="14">
        <f t="shared" si="39"/>
        <v>0</v>
      </c>
      <c r="AM43" s="14" t="str">
        <f t="shared" si="23"/>
        <v/>
      </c>
      <c r="AO43" s="15">
        <f t="shared" si="40"/>
        <v>0</v>
      </c>
      <c r="AP43" s="1">
        <f>IF(AND(B43&gt;=$DB$6,A43&gt;=$DA$6),0,AP42*(1+Lookups!C$12))</f>
        <v>0</v>
      </c>
      <c r="AQ43" s="1">
        <f>IF(AND(B43&gt;=$DB$6,A43&gt;=$DA$6),0,AQ42*(1+Lookups!C$12))</f>
        <v>0</v>
      </c>
      <c r="AS43" s="1" cm="1">
        <f t="array" ref="AS43">_xlfn.IFS(OR(AS$6="",AND(A43&gt;=DA$6,B43&gt;=DB$6),AND(A43&lt;DA$4,B43&lt;DB$4)),0,AND(A43=DA$4,DA$4&lt;=DB$4),AS$6,AND(B43=DB$4,DA$4&gt;=DB$4),AS$6,OR(A43&gt;DA$4,B43&gt;DB$4),AS42*(1+Setup!C$103))</f>
        <v>0</v>
      </c>
      <c r="AT43" s="1" cm="1">
        <f t="array" ref="AT43">_xlfn.IFS(OR(AT$6="",AND(A43&gt;=DA$6,B43&gt;=DB$6),AND(A43&lt;DA$4,B43&lt;DB$4)),0,AND(A43=DA$4,DA$4&lt;=DB$4),AT$6,AND(B43=DB$4,DA$4&gt;=DB$4),AT$6,OR(A43&gt;DA$4,B43&gt;DB$4),AT42*(1+Setup!C$103))</f>
        <v>0</v>
      </c>
      <c r="AU43" s="1" cm="1">
        <f t="array" ref="AU43">_xlfn.IFS(OR(AU$6="",AND(A43&gt;=DA$6,B43&gt;=DB$6),AND(A43&lt;DA$4,B43&lt;DB$4)),0,AND(A43=DA$4,DA$4&lt;=DB$4),AU$6,AND(B43=DB$4,DA$4&gt;=DB$4),AU$6,OR(A43&gt;DA$4,B43&gt;DB$4),AU42*(1+Setup!C$103))</f>
        <v>0</v>
      </c>
      <c r="AV43" s="1" cm="1">
        <f t="array" ref="AV43">_xlfn.IFS(OR(AV$6="",AND(A43&gt;=DA$6,B43&gt;=DB$6),AND(A43&lt;DA$4,B43&lt;DB$4)),0,AND(A43=DA$4,DA$4&lt;=DB$4),AV$6,AND(B43=DB$4,DA$4&gt;=DB$4),AV$6,OR(A43&gt;DA$4,B43&gt;DB$4),AV42*(1+Setup!C$103))</f>
        <v>0</v>
      </c>
      <c r="AW43" s="1">
        <f t="shared" si="41"/>
        <v>0</v>
      </c>
      <c r="AY43" s="1" cm="1">
        <f t="array" ref="AY43">_xlfn.IFS(OR(AND(A43&gt;=DA$6,B43&gt;=DB$6),A43&lt;DA$5),0,AND(A43=DA$5,YEAR(C43)&gt;=Lookups!D$89),VLOOKUP(A43,Lookups!B$94:F$102,3),AND(A43=DA$5,YEAR(C43)&lt;Lookups!D$89),VLOOKUP(A43,Lookups!B$94:F$102,2),AND(A43&gt;DA$5,YEAR(C43)=Lookups!D$89),(AY42*Lookups!D$90)*(1+Lookups!C$20),AND(A43&gt;DA$5,YEAR(C43)&lt;&gt;Lookups!D$89),AY42*(1+Lookups!C$20))</f>
        <v>0</v>
      </c>
      <c r="AZ43" s="1" cm="1">
        <f t="array" ref="AZ43">_xlfn.IFS(OR(ISBLANK(Setup!K$91),Setup!K$91=0,AND(A43&gt;=DA$6,B43&gt;=DB$6),B43&lt;DB$5),0,AND(B43=DB$5,YEAR(C43)&gt;=Lookups!D$89),VLOOKUP(B43,Lookups!B$94:F$102,5),AND(B43=DB$5,YEAR(C43)&lt;Lookups!D$89),VLOOKUP(B43,Lookups!B$94:F$102,4),AND(B43&gt;DB$5,YEAR(C43)=Lookups!D$89),(AZ42*Lookups!D$90)*(1+Lookups!C$20),AND(B43&gt;DB$5,YEAR(C43)&lt;&gt;Lookups!D$89),AZ42*(1+Lookups!C$20))</f>
        <v>0</v>
      </c>
      <c r="BA43" s="65">
        <f>IF(OR(AY43&gt;0,AZ43&gt;0),(AY43+AZ43)*Lookups!D$120,0)</f>
        <v>0</v>
      </c>
      <c r="BB43" s="1" cm="1">
        <f t="array" ref="BB43">_xlfn.IFS(AND(A43&lt;DA$4,B43&lt;DB$4),0,OR(_xlfn.XOR(A43&gt;DA$6,B43&gt;DB$6),_xlfn.XOR(A43&gt;=DA$4,B43&gt;=DB$4)),IF(AP43-SUM(AW43,AY43:AZ43)&gt;0,AP43-SUM(AW43,AY43:AZ43),0),AQ43-SUM(AW43,AY43:AZ43)&gt;0, AQ43-SUM(AW43,AY43:AZ43),AQ43-SUM(AW43,AY43:AZ43)&lt;=0,0)</f>
        <v>0</v>
      </c>
      <c r="BD43" s="1" cm="1">
        <f t="array" ref="BD43">_xlfn.IFS(AND(A43&gt;=DA$6,B43&gt;=DB$6),0,AND(A43&gt;=DA$6,B43&gt;=Lookups!C$35),D43/VLOOKUP(B43,Lookups!C$37:D$67,2),A43&lt;Lookups!$C$35,0,A43&gt;=Lookups!C$35,D43/VLOOKUP(A43,Lookups!C$37:D$67,2))</f>
        <v>0</v>
      </c>
      <c r="BE43" s="1" cm="1">
        <f t="array" ref="BE43">_xlfn.IFS(AND(A43&gt;=DA$6,B43&gt;=DB$6),0,AND(B43&gt;=DB$6,A43&gt;=Lookups!C$35),F43/VLOOKUP(A43,Lookups!C$37:D$67,2),B43&lt;Lookups!$C$35,0,B43&gt;=Lookups!C$35,F43/VLOOKUP(B43,Lookups!C$37:D$67,2))</f>
        <v>0</v>
      </c>
      <c r="BF43" s="1" cm="1">
        <f t="array" ref="BF43">_xlfn.IFS($BB43&lt;=0,0,AND(A43&gt;=DA$4,B43&gt;=DB$4,$BB43*I43&lt;(BD43+BE43)),0,AND(A43&gt;=DA$4,B43&gt;=DB$4,H43&gt;=(BB43*I43)-BD43-BE43),(BB43*I43)-BD43-BE43,AND(A43&gt;=DA$4,B43&gt;=DB$4,H43&lt;(BB43*I43)-BD43-BE43),H43,AND(A43&gt;=DA$4,$BB43*I43&lt;(BD43)),0,AND(A43&gt;=DA$4,H43&gt;=(BB43*I43)-BD43),(BB43*I43)-BD43,AND(A43&gt;=DA$4,H43&lt;(BB43*I43)-BD43),H43,AND(B43&gt;=DB$4,$BB43*I43&lt;(BE43)),0,AND(B43&gt;=DB$4,H43&gt;=(BB43*I43)-BE43),(BB43*I43)-BE43,AND(B43&gt;=DB$4,H43&lt;(BB43*I43)-BE43),H43)</f>
        <v>0</v>
      </c>
      <c r="BG43" s="1">
        <f t="shared" si="53"/>
        <v>0</v>
      </c>
      <c r="BH43" s="1" cm="1">
        <f t="array" ref="BH43">_xlfn.IFS(OR(D43=0,A43&lt;DA$4),0,AND(A43&gt;=DA$4,B43&gt;=DB$4,D43&lt;BD43+($BF43*(D43/$H43))+(-$BP43*(D43/$H43))),D43,AND(A43&gt;=DA$4,B43&gt;=DB$4,$BB43&gt;$BG43),BD43+($BF43*(D43/$H43))+(-$BP43*(D43/$H43)),AND(A43&gt;=DA$4,B43&gt;=DB$4,OR(A43&gt;DA$6, B43&gt;DB$6),$AP43-SUM($AW43,$AY43:$AZ43)&lt;0),BD43+($BF43*(D43/$H43))+(-$BP43*(D43/$H43))+(BP43*(D43/$H43)),AND(A43&gt;=DA$4,B43&gt;=DB$4,$AQ43-SUM($AW43,$AY43:$AZ43)&lt;0),BD43+($BF43*(D43/$H43))+(-$BP43*(D43/$H43))+(BP43*(D43/$H43)),AND(A43&gt;=DA$4,D43&lt;BD43+$BF43-$BP43),D43,AND(A43&gt;=DA$4,$AP43-SUM($AW43,$AY43:$AZ43)&lt;0),BD43+($BF43*(D43/$H43))+(-$BP43*(D43/$H43))+(BP43*(D43/$H43)),A43&gt;=DA$4,BD43+$BF43-$BP43)</f>
        <v>0</v>
      </c>
      <c r="BI43" s="1" cm="1">
        <f t="array" ref="BI43">_xlfn.IFS(OR(F43=0,B43&lt;DB$4),0,AND(A43&gt;=DA$4,B43&gt;=DB$4,F43&lt;BE43+($BF43*(F43/$H43))+(-$BP43*(F43/$H43))),F43,AND(A43&gt;=DA$4,B43&gt;=DB$4,$BB43&gt;$BG43),BE43+($BF43*(F43/$H43))+(-$BP43*(F43/$H43)),AND(A43&gt;=DA$4,B43&gt;=DB$4,OR(A43&gt;DA$6, B43&gt;DB$6),$AP43-SUM($AW43,$AY43:$AZ43)&lt;0),BE43+($BF43*(F43/$H43))+(-$BP43*(F43/$H43))+(BP43*(F43/$H43)),AND(A43&gt;=DA$4,B43&gt;=DB$4,$AQ43-SUM($AW43,$AY43:$AZ43)&lt;0),BE43+($BF43*(F43/$H43))+(-$BP43*(F43/$H43))+(BP43*(F43/$H43)),AND(B43&gt;=DB$4,F43&lt;BE43+$BF43-$BP43),F43,AND(B43&gt;=DB$4,$AP43-SUM($AW43,$AY43:$AZ43)&lt;0),BE43+($BF43*(F43/$H43))+(-$BP43*(F43/$H43))+(BP43*(F43/$H43)),B43&gt;=DB$4,BE43+$BF43-$BP43)</f>
        <v>0</v>
      </c>
      <c r="BJ43" s="64" cm="1">
        <f t="array" ref="BJ43">IF(AW43+BA43+BG43&gt;0, AW43+BA43+BG43-_xlfn.IFS(AND(A43&gt;=65,B43&gt;=65),VLOOKUP(Setup!I$4,Lookups!C$133:F$136,4),OR(A43&gt;=65,B43&gt;=65),VLOOKUP(Setup!I$4,Lookups!C$133:E$136,3),AND(A43&lt;65,B43&lt;65),VLOOKUP(Setup!I$4,Lookups!C$133:D$136,2)),0)</f>
        <v>0</v>
      </c>
      <c r="BK43" s="1" cm="1">
        <f t="array" ref="BK43">IF(BJ43&gt;0,_xlfn.IFS(Setup!I$4=Lookups!D$109,-_xlfn.IFS($BJ43&gt;=Lookups!D$157, Lookups!F$157+($BJ43-Lookups!D$157)*Lookups!G$157,$BJ43&gt;=Lookups!D$156, Lookups!F$156+($BJ43-Lookups!D$156)*Lookups!G$156,$BJ43&gt;=Lookups!D$155, Lookups!F$155+($BJ43-Lookups!D$155)*Lookups!G$155,$BJ43&gt;=Lookups!D$154, Lookups!F$154+($BJ43-Lookups!D$154)*Lookups!G$154,$BJ43&gt;=Lookups!D$153, Lookups!F$153+($BJ43-Lookups!D$153)*Lookups!G$153,$BJ43&gt;=Lookups!D$152, Lookups!F$152+($BJ43-Lookups!D$152)*Lookups!G$152,$BJ43&lt;Lookups!D$152,$BJ43*Lookups!G$151),Setup!I$4=Lookups!D$110,-_xlfn.IFS($BJ43&gt;=Lookups!D$167, Lookups!F$167+($BJ43-Lookups!D$167)*Lookups!G$167,$BJ43&gt;=Lookups!D$166, Lookups!F$166+($BJ43-Lookups!D$166)*Lookups!G$166,$BJ43&gt;=Lookups!D$165, Lookups!F$165+($BJ43-Lookups!D$165)*Lookups!G$165,$BJ43&gt;=Lookups!D$164, Lookups!F$164+($BJ43-Lookups!D$164)*Lookups!G$164,$BJ43&gt;=Lookups!D$163, Lookups!F$163+($BJ43-Lookups!D$163)*Lookups!G$163,$BJ43&gt;=Lookups!D$162, Lookups!F$162+($BJ43-Lookups!D$162)*Lookups!G$162,$BJ43&lt;Lookups!D$162,$BJ43*Lookups!G$161),Setup!I$4=Lookups!D$111,-_xlfn.IFS($BJ43&gt;=Lookups!D$177, Lookups!F$177+($BJ43-Lookups!D$177)*Lookups!G$177,$BJ43&gt;=Lookups!D$176, Lookups!F$176+($BJ43-Lookups!D$176)*Lookups!G$176,$BJ43&gt;=Lookups!D$175, Lookups!F$175+($BJ43-Lookups!D$175)*Lookups!G$175,$BJ43&gt;=Lookups!D$174, Lookups!F$174+($BJ43-Lookups!D$174)*Lookups!G$174,$BJ43&gt;=Lookups!D$173, Lookups!F$173+($BJ43-Lookups!D$173)*Lookups!G$173,$BJ43&gt;=Lookups!D$172, Lookups!F$172+($BJ43-Lookups!D$172)*Lookups!G$172,$BJ43&lt;Lookups!D$172,$BJ43*Lookups!G$171), Setup!I$4=Lookups!D$112,-_xlfn.IFS($BJ43&gt;=Lookups!D$187, Lookups!F$187+($BJ43-Lookups!D$187)*Lookups!G$187,$BJ43&gt;=Lookups!D$186, Lookups!F$186+($BJ43-Lookups!D$186)*Lookups!G$186,$BJ43&gt;=Lookups!D$185, Lookups!F$185+($BJ43-Lookups!D$185)*Lookups!G$185,$BJ43&gt;=Lookups!D$184, Lookups!F$184+($BJ43-Lookups!D$184)*Lookups!G$184,$BJ43&gt;=Lookups!D$183, Lookups!F$183+($BJ43-Lookups!D$183)*Lookups!G$183,$BJ43&gt;=Lookups!D$182, Lookups!F$182+($BJ43-Lookups!D$182)*Lookups!G$182,$BJ43&lt;Lookups!D$182,$BJ43*Lookups!G$181)),0)</f>
        <v>0</v>
      </c>
      <c r="BL43" s="18">
        <f t="shared" si="54"/>
        <v>0</v>
      </c>
      <c r="BM43" s="134">
        <f t="shared" si="55"/>
        <v>0</v>
      </c>
      <c r="BN43" s="134" cm="1">
        <f t="array" aca="1" ref="BN43" ca="1">INDIRECT(Setup!I$6&amp;"!"&amp;"A"&amp;ROW())</f>
        <v>0</v>
      </c>
      <c r="BO43" s="134">
        <f t="shared" si="56"/>
        <v>0</v>
      </c>
      <c r="BP43" s="1">
        <f t="shared" si="57"/>
        <v>0</v>
      </c>
      <c r="BQ43" s="1">
        <f t="shared" si="58"/>
        <v>0</v>
      </c>
      <c r="BS43" s="1">
        <f t="shared" si="50"/>
        <v>0</v>
      </c>
      <c r="BT43" s="1" cm="1">
        <f t="array" ref="BT43">-IF(BS43&gt;0,_xlfn.IFS((AW43+BA43+BG43+BS43)&gt;=VLOOKUP(Setup!I$4,Lookups!C$210:E$213,3),BS43*Lookups!D$203,(AW43+BA43+BG43+BS43)&gt;=VLOOKUP(Setup!I$4,Lookups!C$210:E$213,2),BS43*Lookups!D$197,(AW43+BA43+BG43+BS43)&lt;VLOOKUP(Setup!I$4,Lookups!C$210:E$213,2),0),0)</f>
        <v>0</v>
      </c>
      <c r="BU43" s="18">
        <f t="shared" si="51"/>
        <v>0</v>
      </c>
      <c r="BV43" s="1">
        <f t="shared" si="52"/>
        <v>0</v>
      </c>
      <c r="BW43" s="1" cm="1">
        <f t="array" aca="1" ref="BW43" ca="1">INDIRECT(Setup!I$6&amp;"!"&amp;"A"&amp;ROW()+100)</f>
        <v>0</v>
      </c>
      <c r="BX43" s="1">
        <f t="shared" ca="1" si="44"/>
        <v>0</v>
      </c>
      <c r="BY43" s="1">
        <f t="shared" ca="1" si="45"/>
        <v>0</v>
      </c>
      <c r="CA43" s="1">
        <f t="shared" si="59"/>
        <v>0</v>
      </c>
      <c r="CC43" s="1" cm="1">
        <f t="array" ref="CC43">_xlfn.IFS(AND(A43&lt;$DA$4,B43&lt;$DB$4),0,AND(AND(A43&gt;=$DA$4,B43&gt;=$DB$4),AND(A43&lt;=$DA$6,B43&lt;=$DB$6),AND(BH43=0,BI43=0)),SUM(AW43,AY43:AZ43,BD43:BF43,BP43,BS43,CA43)-AQ43,AND(AND(A43&gt;=$DA$4,B43&gt;=$DB$4),AND(A43&lt;=$DA$6,B43&lt;=$DB$6)),SUM(AW43,AY43:AZ43,BD43:BF43,BS43,CA43)-AQ43,AND(OR(A43&gt;=$DA$4,B43&gt;=$DB$4),AND(BH43=0,BI43=0)),SUM(AW43,AY43:AZ43,BD43:BF43,BP43,BS43,CA43)-AP43,OR(A43&gt;=$DA$4,B43&gt;=$DB$4),SUM(AW43,AY43:AZ43,BD43:BF43,BS43,CA43)-AP43)</f>
        <v>0</v>
      </c>
      <c r="CD43" s="142" t="str">
        <f t="shared" si="30"/>
        <v/>
      </c>
    </row>
    <row r="44" spans="1:82" x14ac:dyDescent="0.3">
      <c r="A44" s="354">
        <f t="shared" si="31"/>
        <v>37</v>
      </c>
      <c r="B44" s="354">
        <f t="shared" si="32"/>
        <v>37</v>
      </c>
      <c r="C44" s="359">
        <f t="shared" si="33"/>
        <v>13516</v>
      </c>
      <c r="D44" s="326" cm="1">
        <f t="array" ref="D44">_xlfn.IFS(AND(A44&gt;DA$6,B44&gt;DB$6),0,AND(A44&gt;DA$3,A44&lt;=DA$4),D43*(1+DH$1),OR(A44&gt;DA$6,A44&gt;DA$4),(D43-BH43)*(1+DH$2),A44&lt;=DA$4,(D43*(1+DH$1))+(D$4))</f>
        <v>0</v>
      </c>
      <c r="E44" s="375"/>
      <c r="F44" s="326" cm="1">
        <f t="array" ref="F44">_xlfn.IFS(AND(A44&gt;DA$6,B44&gt;DB$6),0,AND(B44&gt;DB$3,B44&lt;=DB$4),F43*(1+DH$1),OR(B44&gt;DB$6,B44&gt;DB$4),(F43-BI43)*(1+DH$2),B44&lt;=DB$4,(F43*(1+DH$1))+(F$4))</f>
        <v>0</v>
      </c>
      <c r="G44" s="375"/>
      <c r="H44" s="1">
        <f t="shared" si="60"/>
        <v>0</v>
      </c>
      <c r="I44" s="2">
        <f t="shared" si="36"/>
        <v>0</v>
      </c>
      <c r="J44" s="14">
        <f t="shared" si="35"/>
        <v>0</v>
      </c>
      <c r="L44" s="402" cm="1">
        <f t="array" ref="L44">_xlfn.IFS(AND(A44&gt;DA$6,B44&gt;DB$6),0,A44&lt;DA$6,0,A44=DA$6,L$4,AND(A44&gt;DA$6,B44&lt;=DB$4),L43*(1+DH$1),AND(A44&gt;DA$6,B44&gt;DB$4),IF(Y43=0,0,(L43-((L43/Y43)*BY43))*(1+DH$2)))</f>
        <v>0</v>
      </c>
      <c r="M44" s="402" cm="1">
        <f t="array" ref="M44">_xlfn.IFS(AND(A44&gt;DA$6,B44&gt;DB$6),0,B44&lt;DB$6,0,B44=DB$6,M$4,AND(B44&gt;DB$6,A44&lt;=DA$4),M43*(1+DH$1),AND(A44&gt;DA$4,B44&gt;DB$6),IF(Y43=0,0,(M43-((M43/Y43)*BY43))*(1+DH$2)))</f>
        <v>0</v>
      </c>
      <c r="N44" s="327"/>
      <c r="O44" s="327" cm="1">
        <f t="array" ref="O44">_xlfn.IFS(OR(ISBLANK(Setup!C$63),Setup!C$63&gt;YEAR(C44),AND(A44&gt;DA$6,B44&gt;DB$6),ISBLANK(Y43)),0,Setup!C$63=YEAR(C44),Setup!C$62,AND(OR(A44&lt;=DA$4,B44&lt;=DB$4),Setup!C$63&lt;YEAR(C44)),O43*(1+DH$1),AND(A44&gt;DA$4,B44&gt;DB$4,Setup!C$63&lt;YEAR(C44)),IF(Y43=0,0,(O43-((O43/Y43)*BY43))*(1+DH$2)))</f>
        <v>0</v>
      </c>
      <c r="P44" s="327" cm="1">
        <f t="array" ref="P44">_xlfn.IFS(OR(ISBLANK(Setup!C$67),Setup!C$67&gt;YEAR(C44),AND(A44&gt;DA$6,B44&gt;DB$6)),0,Setup!C$67=YEAR(C44),Setup!C$66,AND(OR(A44&lt;=DA$4,B44&lt;=DB$4),Setup!C$67&lt;YEAR(C44)),P43*(1+DH$1),AND(A44&gt;DA$4,B44&gt;DB$4,Setup!C$67&lt;YEAR(C44)),IF(Y43=0,0,(P43-((P43/Y43)*BY43))*(1+DH$2)))</f>
        <v>0</v>
      </c>
      <c r="Q44" s="327" cm="1">
        <f t="array" ref="Q44">_xlfn.IFS(OR(ISBLANK(Setup!C$71),Setup!C$71&gt;YEAR(C44),AND(A44&gt;DA$6,B44&gt;DB$6)),0,Setup!C$71=YEAR(C44),Setup!C$70,AND(OR(A44&lt;=DA$4,B44&lt;=DB$4),Setup!C$71&lt;YEAR(C44)),Q43*(1+DH$1),AND(A44&gt;DA$4,B44&gt;DB$4,Setup!C$71&lt;YEAR(C44)),IF(Y43=0,0,(Q43-((Q43/Y43)*BY43))*(1+DH$2)))</f>
        <v>0</v>
      </c>
      <c r="R44" s="327" cm="1">
        <f t="array" ref="R44">_xlfn.IFS(OR(ISBLANK(Setup!C$75),Setup!C$75&gt;YEAR(C44),AND(A44&gt;DA$6,B44&gt;DB$6)),0,Setup!C$75=YEAR(C44),Setup!C$74,AND(OR(A44&lt;=DA$4,B44&lt;=DB$4),Setup!C$75&lt;YEAR(C44)),R43*(1+DH$1),AND(A44&gt;DA$4,B44&gt;DB$4,Setup!C$75&lt;YEAR(C44)),IF(Y43=0,0,(R43-((R43/Y43)*BY43))*(1+DH$2)))</f>
        <v>0</v>
      </c>
      <c r="S44" s="327"/>
      <c r="T44" s="326" cm="1">
        <f t="array" ref="T44">_xlfn.IFS(AND($A44&gt;$DA$6,$B44&gt;$DB$6),0,AND($W$2=$DA$2,$A44&gt;$DA$4),IF($Y43=0,0,(T43-((T43/$Y43)*$BY43))*(1+$DH$2)),AND($W$2=$DB$2,$B44&gt;$DB$4),IF($Y43=0,0,(T43-((T43/$Y43)*$BY43))*(1+$DH$2)),AND($W$2=$DA$2,OR($A44&gt;$DA$3,$A44&gt;$DA$6)),(T43*(1+$DH$1)),AND($W$2=$DB$2,OR($B44&gt;$DB$3,$B44&gt;$DB$6)),(T43*(1+$DH$1)),AND($W$2=$DA$2,$A44&lt;=$DA$3,$A44&lt;=$DA$4,$A44&lt;=$DA$5),(T43*(1+$DH$1))+(T$4),AND($W$2=$DB$2,$B44&lt;=$DB$3,$B44&lt;=$DB$4,$B44&lt;=$DB$5),(T43*(1+$DH$1))+(T$4))</f>
        <v>0</v>
      </c>
      <c r="U44" s="326" cm="1">
        <f t="array" ref="U44">_xlfn.IFS(AND($A44&gt;$DA$6,$B44&gt;$DB$6),0,AND($W$2=$DA$2,$A44&gt;$DA$4),IF($Y43=0,0,(U43-((U43/$Y43)*$BY43))*(1+$DH$2)),AND($W$2=$DB$2,$B44&gt;$DB$4),IF($Y43=0,0,(U43-((U43/$Y43)*$BY43))*(1+$DH$2)),AND($W$2=$DA$2,OR($A44&gt;$DA$3,$A44&gt;$DA$6)),(U43*(1+$DH$1)),AND($W$2=$DB$2,OR($B44&gt;$DB$3,$B44&gt;$DB$6)),(U43*(1+$DH$1)),AND($W$2=$DA$2,$A44&lt;=$DA$3,$A44&lt;=$DA$4,$A44&lt;=$DA$5),(U43*(1+$DH$1))+(U$4),AND($W$2=$DB$2,$B44&lt;=$DB$3,$B44&lt;=$DB$4,$B44&lt;=$DB$5),(U43*(1+$DH$1))+(U$4))</f>
        <v>0</v>
      </c>
      <c r="V44" s="326" cm="1">
        <f t="array" ref="V44">_xlfn.IFS(AND($A44&gt;$DA$6,$B44&gt;$DB$6),0,AND($W$2=$DA$2,$A44&gt;$DA$4),IF($Y43=0,0,(V43-((V43/$Y43)*$BY43))*(1+$DH$2)),AND($W$2=$DB$2,$B44&gt;$DB$4),IF($Y43=0,0,(V43-((V43/$Y43)*$BY43))*(1+$DH$2)),AND($W$2=$DA$2,OR($A44&gt;$DA$3,$A44&gt;$DA$6)),(V43*(1+$DH$1)),AND($W$2=$DB$2,OR($B44&gt;$DB$3,$B44&gt;$DB$6)),(V43*(1+$DH$1)),AND($W$2=$DA$2,$A44&lt;=$DA$3,$A44&lt;=$DA$4,$A44&lt;=$DA$5),(V43*(1+$DH$1))+(V$4),AND($W$2=$DB$2,$B44&lt;=$DB$3,$B44&lt;=$DB$4,$B44&lt;=$DB$5),(V43*(1+$DH$1))+(V$4))</f>
        <v>0</v>
      </c>
      <c r="W44" s="326" cm="1">
        <f t="array" ref="W44">_xlfn.IFS(AND($A44&gt;$DA$6,$B44&gt;$DB$6),0,AND($W$2=$DA$2,$A44&gt;$DA$4),IF($Y43=0,0,(W43-((W43/$Y43)*$BY43))*(1+$DH$2)),AND($W$2=$DB$2,$B44&gt;$DB$4),IF($Y43=0,0,(W43-((W43/$Y43)*$BY43))*(1+$DH$2)),AND($W$2=$DA$2,OR($A44&gt;$DA$3,$A44&gt;$DA$6)),(W43*(1+$DH$1)),AND($W$2=$DB$2,OR($B44&gt;$DB$3,$B44&gt;$DB$6)),(W43*(1+$DH$1)),AND($W$2=$DA$2,$A44&lt;=$DA$3,$A44&lt;=$DA$4,$A44&lt;=$DA$5),(W43*(1+$DH$1))+(W$4),AND($W$2=$DB$2,$B44&lt;=$DB$3,$B44&lt;=$DB$4,$B44&lt;=$DB$5),(W43*(1+$DH$1))+(W$4))</f>
        <v>0</v>
      </c>
      <c r="Y44" s="1">
        <f t="shared" si="47"/>
        <v>0</v>
      </c>
      <c r="Z44" s="2">
        <f t="shared" si="37"/>
        <v>0</v>
      </c>
      <c r="AA44" s="375"/>
      <c r="AC44" s="326" cm="1">
        <f t="array" ref="AC44">_xlfn.IFS(AND(A44&gt;DA$6,B44&gt;DB$6),0,AND(A44&gt;DA$4,B44&gt;DB$4),IF(AG43=0,0,(AC43-((AC43/AG43)*CA43))*(1+DH$2)),OR(A44&gt;DA$3,A44&gt;DA$6),AC43*(1+DH$1),A44&gt;DA$4,(AC43-CA43)*(1+DH$2),AND(A44&lt;=DA$3,A44&lt;=DA$4,A44&lt;=DA$6),(AC43*(1+DH$1))+(AC$4))</f>
        <v>0</v>
      </c>
      <c r="AD44" s="375"/>
      <c r="AE44" s="326" cm="1">
        <f t="array" ref="AE44">_xlfn.IFS(AND(A44&gt;DA$6,B44&gt;DB$6),0,AND(A44&gt;DA$4,B44&gt;DB$4),IF(AG43=0,0,(AE43-((AE43/AG43)*CA43))*(1+DH$2)),OR(B44&gt;DB$3,B44&gt;DB$6),AE43*(1+DH$1),B44&gt;DB$4,(AE43-CA43)*(1+DH$2),AND(B44&lt;=DB$3,B44&lt;=DB$4,B44&lt;=DB$6),(AE43*(1+DH$1))+(AE$4))</f>
        <v>0</v>
      </c>
      <c r="AF44" s="375"/>
      <c r="AG44" s="1">
        <f t="shared" si="61"/>
        <v>0</v>
      </c>
      <c r="AH44" s="2">
        <f t="shared" si="48"/>
        <v>0</v>
      </c>
      <c r="AI44" s="14">
        <f t="shared" si="38"/>
        <v>0</v>
      </c>
      <c r="AK44" s="1">
        <f t="shared" si="49"/>
        <v>0</v>
      </c>
      <c r="AL44" s="14">
        <f t="shared" si="39"/>
        <v>0</v>
      </c>
      <c r="AM44" s="14" t="str">
        <f t="shared" si="23"/>
        <v/>
      </c>
      <c r="AO44" s="15">
        <f t="shared" si="40"/>
        <v>0</v>
      </c>
      <c r="AP44" s="1">
        <f>IF(AND(B44&gt;=$DB$6,A44&gt;=$DA$6),0,AP43*(1+Lookups!C$12))</f>
        <v>0</v>
      </c>
      <c r="AQ44" s="1">
        <f>IF(AND(B44&gt;=$DB$6,A44&gt;=$DA$6),0,AQ43*(1+Lookups!C$12))</f>
        <v>0</v>
      </c>
      <c r="AS44" s="1" cm="1">
        <f t="array" ref="AS44">_xlfn.IFS(OR(AS$6="",AND(A44&gt;=DA$6,B44&gt;=DB$6),AND(A44&lt;DA$4,B44&lt;DB$4)),0,AND(A44=DA$4,DA$4&lt;=DB$4),AS$6,AND(B44=DB$4,DA$4&gt;=DB$4),AS$6,OR(A44&gt;DA$4,B44&gt;DB$4),AS43*(1+Setup!C$103))</f>
        <v>0</v>
      </c>
      <c r="AT44" s="1" cm="1">
        <f t="array" ref="AT44">_xlfn.IFS(OR(AT$6="",AND(A44&gt;=DA$6,B44&gt;=DB$6),AND(A44&lt;DA$4,B44&lt;DB$4)),0,AND(A44=DA$4,DA$4&lt;=DB$4),AT$6,AND(B44=DB$4,DA$4&gt;=DB$4),AT$6,OR(A44&gt;DA$4,B44&gt;DB$4),AT43*(1+Setup!C$103))</f>
        <v>0</v>
      </c>
      <c r="AU44" s="1" cm="1">
        <f t="array" ref="AU44">_xlfn.IFS(OR(AU$6="",AND(A44&gt;=DA$6,B44&gt;=DB$6),AND(A44&lt;DA$4,B44&lt;DB$4)),0,AND(A44=DA$4,DA$4&lt;=DB$4),AU$6,AND(B44=DB$4,DA$4&gt;=DB$4),AU$6,OR(A44&gt;DA$4,B44&gt;DB$4),AU43*(1+Setup!C$103))</f>
        <v>0</v>
      </c>
      <c r="AV44" s="1" cm="1">
        <f t="array" ref="AV44">_xlfn.IFS(OR(AV$6="",AND(A44&gt;=DA$6,B44&gt;=DB$6),AND(A44&lt;DA$4,B44&lt;DB$4)),0,AND(A44=DA$4,DA$4&lt;=DB$4),AV$6,AND(B44=DB$4,DA$4&gt;=DB$4),AV$6,OR(A44&gt;DA$4,B44&gt;DB$4),AV43*(1+Setup!C$103))</f>
        <v>0</v>
      </c>
      <c r="AW44" s="1">
        <f t="shared" si="41"/>
        <v>0</v>
      </c>
      <c r="AY44" s="1" cm="1">
        <f t="array" ref="AY44">_xlfn.IFS(OR(AND(A44&gt;=DA$6,B44&gt;=DB$6),A44&lt;DA$5),0,AND(A44=DA$5,YEAR(C44)&gt;=Lookups!D$89),VLOOKUP(A44,Lookups!B$94:F$102,3),AND(A44=DA$5,YEAR(C44)&lt;Lookups!D$89),VLOOKUP(A44,Lookups!B$94:F$102,2),AND(A44&gt;DA$5,YEAR(C44)=Lookups!D$89),(AY43*Lookups!D$90)*(1+Lookups!C$20),AND(A44&gt;DA$5,YEAR(C44)&lt;&gt;Lookups!D$89),AY43*(1+Lookups!C$20))</f>
        <v>0</v>
      </c>
      <c r="AZ44" s="1" cm="1">
        <f t="array" ref="AZ44">_xlfn.IFS(OR(ISBLANK(Setup!K$91),Setup!K$91=0,AND(A44&gt;=DA$6,B44&gt;=DB$6),B44&lt;DB$5),0,AND(B44=DB$5,YEAR(C44)&gt;=Lookups!D$89),VLOOKUP(B44,Lookups!B$94:F$102,5),AND(B44=DB$5,YEAR(C44)&lt;Lookups!D$89),VLOOKUP(B44,Lookups!B$94:F$102,4),AND(B44&gt;DB$5,YEAR(C44)=Lookups!D$89),(AZ43*Lookups!D$90)*(1+Lookups!C$20),AND(B44&gt;DB$5,YEAR(C44)&lt;&gt;Lookups!D$89),AZ43*(1+Lookups!C$20))</f>
        <v>0</v>
      </c>
      <c r="BA44" s="65">
        <f>IF(OR(AY44&gt;0,AZ44&gt;0),(AY44+AZ44)*Lookups!D$120,0)</f>
        <v>0</v>
      </c>
      <c r="BB44" s="1" cm="1">
        <f t="array" ref="BB44">_xlfn.IFS(AND(A44&lt;DA$4,B44&lt;DB$4),0,OR(_xlfn.XOR(A44&gt;DA$6,B44&gt;DB$6),_xlfn.XOR(A44&gt;=DA$4,B44&gt;=DB$4)),IF(AP44-SUM(AW44,AY44:AZ44)&gt;0,AP44-SUM(AW44,AY44:AZ44),0),AQ44-SUM(AW44,AY44:AZ44)&gt;0, AQ44-SUM(AW44,AY44:AZ44),AQ44-SUM(AW44,AY44:AZ44)&lt;=0,0)</f>
        <v>0</v>
      </c>
      <c r="BD44" s="1" cm="1">
        <f t="array" ref="BD44">_xlfn.IFS(AND(A44&gt;=DA$6,B44&gt;=DB$6),0,AND(A44&gt;=DA$6,B44&gt;=Lookups!C$35),D44/VLOOKUP(B44,Lookups!C$37:D$67,2),A44&lt;Lookups!$C$35,0,A44&gt;=Lookups!C$35,D44/VLOOKUP(A44,Lookups!C$37:D$67,2))</f>
        <v>0</v>
      </c>
      <c r="BE44" s="1" cm="1">
        <f t="array" ref="BE44">_xlfn.IFS(AND(A44&gt;=DA$6,B44&gt;=DB$6),0,AND(B44&gt;=DB$6,A44&gt;=Lookups!C$35),F44/VLOOKUP(A44,Lookups!C$37:D$67,2),B44&lt;Lookups!$C$35,0,B44&gt;=Lookups!C$35,F44/VLOOKUP(B44,Lookups!C$37:D$67,2))</f>
        <v>0</v>
      </c>
      <c r="BF44" s="1" cm="1">
        <f t="array" ref="BF44">_xlfn.IFS($BB44&lt;=0,0,AND(A44&gt;=DA$4,B44&gt;=DB$4,$BB44*I44&lt;(BD44+BE44)),0,AND(A44&gt;=DA$4,B44&gt;=DB$4,H44&gt;=(BB44*I44)-BD44-BE44),(BB44*I44)-BD44-BE44,AND(A44&gt;=DA$4,B44&gt;=DB$4,H44&lt;(BB44*I44)-BD44-BE44),H44,AND(A44&gt;=DA$4,$BB44*I44&lt;(BD44)),0,AND(A44&gt;=DA$4,H44&gt;=(BB44*I44)-BD44),(BB44*I44)-BD44,AND(A44&gt;=DA$4,H44&lt;(BB44*I44)-BD44),H44,AND(B44&gt;=DB$4,$BB44*I44&lt;(BE44)),0,AND(B44&gt;=DB$4,H44&gt;=(BB44*I44)-BE44),(BB44*I44)-BE44,AND(B44&gt;=DB$4,H44&lt;(BB44*I44)-BE44),H44)</f>
        <v>0</v>
      </c>
      <c r="BG44" s="1">
        <f t="shared" si="53"/>
        <v>0</v>
      </c>
      <c r="BH44" s="1" cm="1">
        <f t="array" ref="BH44">_xlfn.IFS(OR(D44=0,A44&lt;DA$4),0,AND(A44&gt;=DA$4,B44&gt;=DB$4,D44&lt;BD44+($BF44*(D44/$H44))+(-$BP44*(D44/$H44))),D44,AND(A44&gt;=DA$4,B44&gt;=DB$4,$BB44&gt;$BG44),BD44+($BF44*(D44/$H44))+(-$BP44*(D44/$H44)),AND(A44&gt;=DA$4,B44&gt;=DB$4,OR(A44&gt;DA$6, B44&gt;DB$6),$AP44-SUM($AW44,$AY44:$AZ44)&lt;0),BD44+($BF44*(D44/$H44))+(-$BP44*(D44/$H44))+(BP44*(D44/$H44)),AND(A44&gt;=DA$4,B44&gt;=DB$4,$AQ44-SUM($AW44,$AY44:$AZ44)&lt;0),BD44+($BF44*(D44/$H44))+(-$BP44*(D44/$H44))+(BP44*(D44/$H44)),AND(A44&gt;=DA$4,D44&lt;BD44+$BF44-$BP44),D44,AND(A44&gt;=DA$4,$AP44-SUM($AW44,$AY44:$AZ44)&lt;0),BD44+($BF44*(D44/$H44))+(-$BP44*(D44/$H44))+(BP44*(D44/$H44)),A44&gt;=DA$4,BD44+$BF44-$BP44)</f>
        <v>0</v>
      </c>
      <c r="BI44" s="1" cm="1">
        <f t="array" ref="BI44">_xlfn.IFS(OR(F44=0,B44&lt;DB$4),0,AND(A44&gt;=DA$4,B44&gt;=DB$4,F44&lt;BE44+($BF44*(F44/$H44))+(-$BP44*(F44/$H44))),F44,AND(A44&gt;=DA$4,B44&gt;=DB$4,$BB44&gt;$BG44),BE44+($BF44*(F44/$H44))+(-$BP44*(F44/$H44)),AND(A44&gt;=DA$4,B44&gt;=DB$4,OR(A44&gt;DA$6, B44&gt;DB$6),$AP44-SUM($AW44,$AY44:$AZ44)&lt;0),BE44+($BF44*(F44/$H44))+(-$BP44*(F44/$H44))+(BP44*(F44/$H44)),AND(A44&gt;=DA$4,B44&gt;=DB$4,$AQ44-SUM($AW44,$AY44:$AZ44)&lt;0),BE44+($BF44*(F44/$H44))+(-$BP44*(F44/$H44))+(BP44*(F44/$H44)),AND(B44&gt;=DB$4,F44&lt;BE44+$BF44-$BP44),F44,AND(B44&gt;=DB$4,$AP44-SUM($AW44,$AY44:$AZ44)&lt;0),BE44+($BF44*(F44/$H44))+(-$BP44*(F44/$H44))+(BP44*(F44/$H44)),B44&gt;=DB$4,BE44+$BF44-$BP44)</f>
        <v>0</v>
      </c>
      <c r="BJ44" s="64" cm="1">
        <f t="array" ref="BJ44">IF(AW44+BA44+BG44&gt;0, AW44+BA44+BG44-_xlfn.IFS(AND(A44&gt;=65,B44&gt;=65),VLOOKUP(Setup!I$4,Lookups!C$133:F$136,4),OR(A44&gt;=65,B44&gt;=65),VLOOKUP(Setup!I$4,Lookups!C$133:E$136,3),AND(A44&lt;65,B44&lt;65),VLOOKUP(Setup!I$4,Lookups!C$133:D$136,2)),0)</f>
        <v>0</v>
      </c>
      <c r="BK44" s="1" cm="1">
        <f t="array" ref="BK44">IF(BJ44&gt;0,_xlfn.IFS(Setup!I$4=Lookups!D$109,-_xlfn.IFS($BJ44&gt;=Lookups!D$157, Lookups!F$157+($BJ44-Lookups!D$157)*Lookups!G$157,$BJ44&gt;=Lookups!D$156, Lookups!F$156+($BJ44-Lookups!D$156)*Lookups!G$156,$BJ44&gt;=Lookups!D$155, Lookups!F$155+($BJ44-Lookups!D$155)*Lookups!G$155,$BJ44&gt;=Lookups!D$154, Lookups!F$154+($BJ44-Lookups!D$154)*Lookups!G$154,$BJ44&gt;=Lookups!D$153, Lookups!F$153+($BJ44-Lookups!D$153)*Lookups!G$153,$BJ44&gt;=Lookups!D$152, Lookups!F$152+($BJ44-Lookups!D$152)*Lookups!G$152,$BJ44&lt;Lookups!D$152,$BJ44*Lookups!G$151),Setup!I$4=Lookups!D$110,-_xlfn.IFS($BJ44&gt;=Lookups!D$167, Lookups!F$167+($BJ44-Lookups!D$167)*Lookups!G$167,$BJ44&gt;=Lookups!D$166, Lookups!F$166+($BJ44-Lookups!D$166)*Lookups!G$166,$BJ44&gt;=Lookups!D$165, Lookups!F$165+($BJ44-Lookups!D$165)*Lookups!G$165,$BJ44&gt;=Lookups!D$164, Lookups!F$164+($BJ44-Lookups!D$164)*Lookups!G$164,$BJ44&gt;=Lookups!D$163, Lookups!F$163+($BJ44-Lookups!D$163)*Lookups!G$163,$BJ44&gt;=Lookups!D$162, Lookups!F$162+($BJ44-Lookups!D$162)*Lookups!G$162,$BJ44&lt;Lookups!D$162,$BJ44*Lookups!G$161),Setup!I$4=Lookups!D$111,-_xlfn.IFS($BJ44&gt;=Lookups!D$177, Lookups!F$177+($BJ44-Lookups!D$177)*Lookups!G$177,$BJ44&gt;=Lookups!D$176, Lookups!F$176+($BJ44-Lookups!D$176)*Lookups!G$176,$BJ44&gt;=Lookups!D$175, Lookups!F$175+($BJ44-Lookups!D$175)*Lookups!G$175,$BJ44&gt;=Lookups!D$174, Lookups!F$174+($BJ44-Lookups!D$174)*Lookups!G$174,$BJ44&gt;=Lookups!D$173, Lookups!F$173+($BJ44-Lookups!D$173)*Lookups!G$173,$BJ44&gt;=Lookups!D$172, Lookups!F$172+($BJ44-Lookups!D$172)*Lookups!G$172,$BJ44&lt;Lookups!D$172,$BJ44*Lookups!G$171), Setup!I$4=Lookups!D$112,-_xlfn.IFS($BJ44&gt;=Lookups!D$187, Lookups!F$187+($BJ44-Lookups!D$187)*Lookups!G$187,$BJ44&gt;=Lookups!D$186, Lookups!F$186+($BJ44-Lookups!D$186)*Lookups!G$186,$BJ44&gt;=Lookups!D$185, Lookups!F$185+($BJ44-Lookups!D$185)*Lookups!G$185,$BJ44&gt;=Lookups!D$184, Lookups!F$184+($BJ44-Lookups!D$184)*Lookups!G$184,$BJ44&gt;=Lookups!D$183, Lookups!F$183+($BJ44-Lookups!D$183)*Lookups!G$183,$BJ44&gt;=Lookups!D$182, Lookups!F$182+($BJ44-Lookups!D$182)*Lookups!G$182,$BJ44&lt;Lookups!D$182,$BJ44*Lookups!G$181)),0)</f>
        <v>0</v>
      </c>
      <c r="BL44" s="18">
        <f t="shared" si="54"/>
        <v>0</v>
      </c>
      <c r="BM44" s="134">
        <f t="shared" si="55"/>
        <v>0</v>
      </c>
      <c r="BN44" s="134" cm="1">
        <f t="array" aca="1" ref="BN44" ca="1">INDIRECT(Setup!I$6&amp;"!"&amp;"A"&amp;ROW())</f>
        <v>0</v>
      </c>
      <c r="BO44" s="134">
        <f t="shared" si="56"/>
        <v>0</v>
      </c>
      <c r="BP44" s="1">
        <f t="shared" si="57"/>
        <v>0</v>
      </c>
      <c r="BQ44" s="1">
        <f t="shared" si="58"/>
        <v>0</v>
      </c>
      <c r="BS44" s="1">
        <f t="shared" si="50"/>
        <v>0</v>
      </c>
      <c r="BT44" s="1" cm="1">
        <f t="array" ref="BT44">-IF(BS44&gt;0,_xlfn.IFS((AW44+BA44+BG44+BS44)&gt;=VLOOKUP(Setup!I$4,Lookups!C$210:E$213,3),BS44*Lookups!D$203,(AW44+BA44+BG44+BS44)&gt;=VLOOKUP(Setup!I$4,Lookups!C$210:E$213,2),BS44*Lookups!D$197,(AW44+BA44+BG44+BS44)&lt;VLOOKUP(Setup!I$4,Lookups!C$210:E$213,2),0),0)</f>
        <v>0</v>
      </c>
      <c r="BU44" s="18">
        <f t="shared" si="51"/>
        <v>0</v>
      </c>
      <c r="BV44" s="1">
        <f t="shared" si="52"/>
        <v>0</v>
      </c>
      <c r="BW44" s="1" cm="1">
        <f t="array" aca="1" ref="BW44" ca="1">INDIRECT(Setup!I$6&amp;"!"&amp;"A"&amp;ROW()+100)</f>
        <v>0</v>
      </c>
      <c r="BX44" s="1">
        <f t="shared" ca="1" si="44"/>
        <v>0</v>
      </c>
      <c r="BY44" s="1">
        <f t="shared" ca="1" si="45"/>
        <v>0</v>
      </c>
      <c r="CA44" s="1">
        <f t="shared" si="59"/>
        <v>0</v>
      </c>
      <c r="CC44" s="1" cm="1">
        <f t="array" ref="CC44">_xlfn.IFS(AND(A44&lt;$DA$4,B44&lt;$DB$4),0,AND(AND(A44&gt;=$DA$4,B44&gt;=$DB$4),AND(A44&lt;=$DA$6,B44&lt;=$DB$6),AND(BH44=0,BI44=0)),SUM(AW44,AY44:AZ44,BD44:BF44,BP44,BS44,CA44)-AQ44,AND(AND(A44&gt;=$DA$4,B44&gt;=$DB$4),AND(A44&lt;=$DA$6,B44&lt;=$DB$6)),SUM(AW44,AY44:AZ44,BD44:BF44,BS44,CA44)-AQ44,AND(OR(A44&gt;=$DA$4,B44&gt;=$DB$4),AND(BH44=0,BI44=0)),SUM(AW44,AY44:AZ44,BD44:BF44,BP44,BS44,CA44)-AP44,OR(A44&gt;=$DA$4,B44&gt;=$DB$4),SUM(AW44,AY44:AZ44,BD44:BF44,BS44,CA44)-AP44)</f>
        <v>0</v>
      </c>
      <c r="CD44" s="142" t="str">
        <f t="shared" si="30"/>
        <v/>
      </c>
    </row>
    <row r="45" spans="1:82" x14ac:dyDescent="0.3">
      <c r="A45" s="354">
        <f t="shared" si="31"/>
        <v>38</v>
      </c>
      <c r="B45" s="354">
        <f t="shared" si="32"/>
        <v>38</v>
      </c>
      <c r="C45" s="359">
        <f t="shared" si="33"/>
        <v>13881</v>
      </c>
      <c r="D45" s="326" cm="1">
        <f t="array" ref="D45">_xlfn.IFS(AND(A45&gt;DA$6,B45&gt;DB$6),0,AND(A45&gt;DA$3,A45&lt;=DA$4),D44*(1+DH$1),OR(A45&gt;DA$6,A45&gt;DA$4),(D44-BH44)*(1+DH$2),A45&lt;=DA$4,(D44*(1+DH$1))+(D$4))</f>
        <v>0</v>
      </c>
      <c r="E45" s="375"/>
      <c r="F45" s="326" cm="1">
        <f t="array" ref="F45">_xlfn.IFS(AND(A45&gt;DA$6,B45&gt;DB$6),0,AND(B45&gt;DB$3,B45&lt;=DB$4),F44*(1+DH$1),OR(B45&gt;DB$6,B45&gt;DB$4),(F44-BI44)*(1+DH$2),B45&lt;=DB$4,(F44*(1+DH$1))+(F$4))</f>
        <v>0</v>
      </c>
      <c r="G45" s="375"/>
      <c r="H45" s="1">
        <f t="shared" si="60"/>
        <v>0</v>
      </c>
      <c r="I45" s="2">
        <f t="shared" si="36"/>
        <v>0</v>
      </c>
      <c r="J45" s="14">
        <f t="shared" si="35"/>
        <v>0</v>
      </c>
      <c r="L45" s="402" cm="1">
        <f t="array" ref="L45">_xlfn.IFS(AND(A45&gt;DA$6,B45&gt;DB$6),0,A45&lt;DA$6,0,A45=DA$6,L$4,AND(A45&gt;DA$6,B45&lt;=DB$4),L44*(1+DH$1),AND(A45&gt;DA$6,B45&gt;DB$4),IF(Y44=0,0,(L44-((L44/Y44)*BY44))*(1+DH$2)))</f>
        <v>0</v>
      </c>
      <c r="M45" s="402" cm="1">
        <f t="array" ref="M45">_xlfn.IFS(AND(A45&gt;DA$6,B45&gt;DB$6),0,B45&lt;DB$6,0,B45=DB$6,M$4,AND(B45&gt;DB$6,A45&lt;=DA$4),M44*(1+DH$1),AND(A45&gt;DA$4,B45&gt;DB$6),IF(Y44=0,0,(M44-((M44/Y44)*BY44))*(1+DH$2)))</f>
        <v>0</v>
      </c>
      <c r="N45" s="327"/>
      <c r="O45" s="327" cm="1">
        <f t="array" ref="O45">_xlfn.IFS(OR(ISBLANK(Setup!C$63),Setup!C$63&gt;YEAR(C45),AND(A45&gt;DA$6,B45&gt;DB$6),ISBLANK(Y44)),0,Setup!C$63=YEAR(C45),Setup!C$62,AND(OR(A45&lt;=DA$4,B45&lt;=DB$4),Setup!C$63&lt;YEAR(C45)),O44*(1+DH$1),AND(A45&gt;DA$4,B45&gt;DB$4,Setup!C$63&lt;YEAR(C45)),IF(Y44=0,0,(O44-((O44/Y44)*BY44))*(1+DH$2)))</f>
        <v>0</v>
      </c>
      <c r="P45" s="327" cm="1">
        <f t="array" ref="P45">_xlfn.IFS(OR(ISBLANK(Setup!C$67),Setup!C$67&gt;YEAR(C45),AND(A45&gt;DA$6,B45&gt;DB$6)),0,Setup!C$67=YEAR(C45),Setup!C$66,AND(OR(A45&lt;=DA$4,B45&lt;=DB$4),Setup!C$67&lt;YEAR(C45)),P44*(1+DH$1),AND(A45&gt;DA$4,B45&gt;DB$4,Setup!C$67&lt;YEAR(C45)),IF(Y44=0,0,(P44-((P44/Y44)*BY44))*(1+DH$2)))</f>
        <v>0</v>
      </c>
      <c r="Q45" s="327" cm="1">
        <f t="array" ref="Q45">_xlfn.IFS(OR(ISBLANK(Setup!C$71),Setup!C$71&gt;YEAR(C45),AND(A45&gt;DA$6,B45&gt;DB$6)),0,Setup!C$71=YEAR(C45),Setup!C$70,AND(OR(A45&lt;=DA$4,B45&lt;=DB$4),Setup!C$71&lt;YEAR(C45)),Q44*(1+DH$1),AND(A45&gt;DA$4,B45&gt;DB$4,Setup!C$71&lt;YEAR(C45)),IF(Y44=0,0,(Q44-((Q44/Y44)*BY44))*(1+DH$2)))</f>
        <v>0</v>
      </c>
      <c r="R45" s="327" cm="1">
        <f t="array" ref="R45">_xlfn.IFS(OR(ISBLANK(Setup!C$75),Setup!C$75&gt;YEAR(C45),AND(A45&gt;DA$6,B45&gt;DB$6)),0,Setup!C$75=YEAR(C45),Setup!C$74,AND(OR(A45&lt;=DA$4,B45&lt;=DB$4),Setup!C$75&lt;YEAR(C45)),R44*(1+DH$1),AND(A45&gt;DA$4,B45&gt;DB$4,Setup!C$75&lt;YEAR(C45)),IF(Y44=0,0,(R44-((R44/Y44)*BY44))*(1+DH$2)))</f>
        <v>0</v>
      </c>
      <c r="S45" s="327"/>
      <c r="T45" s="326" cm="1">
        <f t="array" ref="T45">_xlfn.IFS(AND($A45&gt;$DA$6,$B45&gt;$DB$6),0,AND($W$2=$DA$2,$A45&gt;$DA$4),IF($Y44=0,0,(T44-((T44/$Y44)*$BY44))*(1+$DH$2)),AND($W$2=$DB$2,$B45&gt;$DB$4),IF($Y44=0,0,(T44-((T44/$Y44)*$BY44))*(1+$DH$2)),AND($W$2=$DA$2,OR($A45&gt;$DA$3,$A45&gt;$DA$6)),(T44*(1+$DH$1)),AND($W$2=$DB$2,OR($B45&gt;$DB$3,$B45&gt;$DB$6)),(T44*(1+$DH$1)),AND($W$2=$DA$2,$A45&lt;=$DA$3,$A45&lt;=$DA$4,$A45&lt;=$DA$5),(T44*(1+$DH$1))+(T$4),AND($W$2=$DB$2,$B45&lt;=$DB$3,$B45&lt;=$DB$4,$B45&lt;=$DB$5),(T44*(1+$DH$1))+(T$4))</f>
        <v>0</v>
      </c>
      <c r="U45" s="326" cm="1">
        <f t="array" ref="U45">_xlfn.IFS(AND($A45&gt;$DA$6,$B45&gt;$DB$6),0,AND($W$2=$DA$2,$A45&gt;$DA$4),IF($Y44=0,0,(U44-((U44/$Y44)*$BY44))*(1+$DH$2)),AND($W$2=$DB$2,$B45&gt;$DB$4),IF($Y44=0,0,(U44-((U44/$Y44)*$BY44))*(1+$DH$2)),AND($W$2=$DA$2,OR($A45&gt;$DA$3,$A45&gt;$DA$6)),(U44*(1+$DH$1)),AND($W$2=$DB$2,OR($B45&gt;$DB$3,$B45&gt;$DB$6)),(U44*(1+$DH$1)),AND($W$2=$DA$2,$A45&lt;=$DA$3,$A45&lt;=$DA$4,$A45&lt;=$DA$5),(U44*(1+$DH$1))+(U$4),AND($W$2=$DB$2,$B45&lt;=$DB$3,$B45&lt;=$DB$4,$B45&lt;=$DB$5),(U44*(1+$DH$1))+(U$4))</f>
        <v>0</v>
      </c>
      <c r="V45" s="326" cm="1">
        <f t="array" ref="V45">_xlfn.IFS(AND($A45&gt;$DA$6,$B45&gt;$DB$6),0,AND($W$2=$DA$2,$A45&gt;$DA$4),IF($Y44=0,0,(V44-((V44/$Y44)*$BY44))*(1+$DH$2)),AND($W$2=$DB$2,$B45&gt;$DB$4),IF($Y44=0,0,(V44-((V44/$Y44)*$BY44))*(1+$DH$2)),AND($W$2=$DA$2,OR($A45&gt;$DA$3,$A45&gt;$DA$6)),(V44*(1+$DH$1)),AND($W$2=$DB$2,OR($B45&gt;$DB$3,$B45&gt;$DB$6)),(V44*(1+$DH$1)),AND($W$2=$DA$2,$A45&lt;=$DA$3,$A45&lt;=$DA$4,$A45&lt;=$DA$5),(V44*(1+$DH$1))+(V$4),AND($W$2=$DB$2,$B45&lt;=$DB$3,$B45&lt;=$DB$4,$B45&lt;=$DB$5),(V44*(1+$DH$1))+(V$4))</f>
        <v>0</v>
      </c>
      <c r="W45" s="326" cm="1">
        <f t="array" ref="W45">_xlfn.IFS(AND($A45&gt;$DA$6,$B45&gt;$DB$6),0,AND($W$2=$DA$2,$A45&gt;$DA$4),IF($Y44=0,0,(W44-((W44/$Y44)*$BY44))*(1+$DH$2)),AND($W$2=$DB$2,$B45&gt;$DB$4),IF($Y44=0,0,(W44-((W44/$Y44)*$BY44))*(1+$DH$2)),AND($W$2=$DA$2,OR($A45&gt;$DA$3,$A45&gt;$DA$6)),(W44*(1+$DH$1)),AND($W$2=$DB$2,OR($B45&gt;$DB$3,$B45&gt;$DB$6)),(W44*(1+$DH$1)),AND($W$2=$DA$2,$A45&lt;=$DA$3,$A45&lt;=$DA$4,$A45&lt;=$DA$5),(W44*(1+$DH$1))+(W$4),AND($W$2=$DB$2,$B45&lt;=$DB$3,$B45&lt;=$DB$4,$B45&lt;=$DB$5),(W44*(1+$DH$1))+(W$4))</f>
        <v>0</v>
      </c>
      <c r="Y45" s="1">
        <f t="shared" si="47"/>
        <v>0</v>
      </c>
      <c r="Z45" s="2">
        <f t="shared" si="37"/>
        <v>0</v>
      </c>
      <c r="AA45" s="375"/>
      <c r="AC45" s="326" cm="1">
        <f t="array" ref="AC45">_xlfn.IFS(AND(A45&gt;DA$6,B45&gt;DB$6),0,AND(A45&gt;DA$4,B45&gt;DB$4),IF(AG44=0,0,(AC44-((AC44/AG44)*CA44))*(1+DH$2)),OR(A45&gt;DA$3,A45&gt;DA$6),AC44*(1+DH$1),A45&gt;DA$4,(AC44-CA44)*(1+DH$2),AND(A45&lt;=DA$3,A45&lt;=DA$4,A45&lt;=DA$6),(AC44*(1+DH$1))+(AC$4))</f>
        <v>0</v>
      </c>
      <c r="AD45" s="375"/>
      <c r="AE45" s="326" cm="1">
        <f t="array" ref="AE45">_xlfn.IFS(AND(A45&gt;DA$6,B45&gt;DB$6),0,AND(A45&gt;DA$4,B45&gt;DB$4),IF(AG44=0,0,(AE44-((AE44/AG44)*CA44))*(1+DH$2)),OR(B45&gt;DB$3,B45&gt;DB$6),AE44*(1+DH$1),B45&gt;DB$4,(AE44-CA44)*(1+DH$2),AND(B45&lt;=DB$3,B45&lt;=DB$4,B45&lt;=DB$6),(AE44*(1+DH$1))+(AE$4))</f>
        <v>0</v>
      </c>
      <c r="AF45" s="375"/>
      <c r="AG45" s="1">
        <f t="shared" si="61"/>
        <v>0</v>
      </c>
      <c r="AH45" s="2">
        <f t="shared" si="48"/>
        <v>0</v>
      </c>
      <c r="AI45" s="14">
        <f t="shared" si="38"/>
        <v>0</v>
      </c>
      <c r="AK45" s="1">
        <f t="shared" si="49"/>
        <v>0</v>
      </c>
      <c r="AL45" s="14">
        <f t="shared" si="39"/>
        <v>0</v>
      </c>
      <c r="AM45" s="14" t="str">
        <f t="shared" si="23"/>
        <v/>
      </c>
      <c r="AO45" s="15">
        <f t="shared" si="40"/>
        <v>0</v>
      </c>
      <c r="AP45" s="1">
        <f>IF(AND(B45&gt;=$DB$6,A45&gt;=$DA$6),0,AP44*(1+Lookups!C$12))</f>
        <v>0</v>
      </c>
      <c r="AQ45" s="1">
        <f>IF(AND(B45&gt;=$DB$6,A45&gt;=$DA$6),0,AQ44*(1+Lookups!C$12))</f>
        <v>0</v>
      </c>
      <c r="AS45" s="1" cm="1">
        <f t="array" ref="AS45">_xlfn.IFS(OR(AS$6="",AND(A45&gt;=DA$6,B45&gt;=DB$6),AND(A45&lt;DA$4,B45&lt;DB$4)),0,AND(A45=DA$4,DA$4&lt;=DB$4),AS$6,AND(B45=DB$4,DA$4&gt;=DB$4),AS$6,OR(A45&gt;DA$4,B45&gt;DB$4),AS44*(1+Setup!C$103))</f>
        <v>0</v>
      </c>
      <c r="AT45" s="1" cm="1">
        <f t="array" ref="AT45">_xlfn.IFS(OR(AT$6="",AND(A45&gt;=DA$6,B45&gt;=DB$6),AND(A45&lt;DA$4,B45&lt;DB$4)),0,AND(A45=DA$4,DA$4&lt;=DB$4),AT$6,AND(B45=DB$4,DA$4&gt;=DB$4),AT$6,OR(A45&gt;DA$4,B45&gt;DB$4),AT44*(1+Setup!C$103))</f>
        <v>0</v>
      </c>
      <c r="AU45" s="1" cm="1">
        <f t="array" ref="AU45">_xlfn.IFS(OR(AU$6="",AND(A45&gt;=DA$6,B45&gt;=DB$6),AND(A45&lt;DA$4,B45&lt;DB$4)),0,AND(A45=DA$4,DA$4&lt;=DB$4),AU$6,AND(B45=DB$4,DA$4&gt;=DB$4),AU$6,OR(A45&gt;DA$4,B45&gt;DB$4),AU44*(1+Setup!C$103))</f>
        <v>0</v>
      </c>
      <c r="AV45" s="1" cm="1">
        <f t="array" ref="AV45">_xlfn.IFS(OR(AV$6="",AND(A45&gt;=DA$6,B45&gt;=DB$6),AND(A45&lt;DA$4,B45&lt;DB$4)),0,AND(A45=DA$4,DA$4&lt;=DB$4),AV$6,AND(B45=DB$4,DA$4&gt;=DB$4),AV$6,OR(A45&gt;DA$4,B45&gt;DB$4),AV44*(1+Setup!C$103))</f>
        <v>0</v>
      </c>
      <c r="AW45" s="1">
        <f t="shared" si="41"/>
        <v>0</v>
      </c>
      <c r="AY45" s="1" cm="1">
        <f t="array" ref="AY45">_xlfn.IFS(OR(AND(A45&gt;=DA$6,B45&gt;=DB$6),A45&lt;DA$5),0,AND(A45=DA$5,YEAR(C45)&gt;=Lookups!D$89),VLOOKUP(A45,Lookups!B$94:F$102,3),AND(A45=DA$5,YEAR(C45)&lt;Lookups!D$89),VLOOKUP(A45,Lookups!B$94:F$102,2),AND(A45&gt;DA$5,YEAR(C45)=Lookups!D$89),(AY44*Lookups!D$90)*(1+Lookups!C$20),AND(A45&gt;DA$5,YEAR(C45)&lt;&gt;Lookups!D$89),AY44*(1+Lookups!C$20))</f>
        <v>0</v>
      </c>
      <c r="AZ45" s="1" cm="1">
        <f t="array" ref="AZ45">_xlfn.IFS(OR(ISBLANK(Setup!K$91),Setup!K$91=0,AND(A45&gt;=DA$6,B45&gt;=DB$6),B45&lt;DB$5),0,AND(B45=DB$5,YEAR(C45)&gt;=Lookups!D$89),VLOOKUP(B45,Lookups!B$94:F$102,5),AND(B45=DB$5,YEAR(C45)&lt;Lookups!D$89),VLOOKUP(B45,Lookups!B$94:F$102,4),AND(B45&gt;DB$5,YEAR(C45)=Lookups!D$89),(AZ44*Lookups!D$90)*(1+Lookups!C$20),AND(B45&gt;DB$5,YEAR(C45)&lt;&gt;Lookups!D$89),AZ44*(1+Lookups!C$20))</f>
        <v>0</v>
      </c>
      <c r="BA45" s="65">
        <f>IF(OR(AY45&gt;0,AZ45&gt;0),(AY45+AZ45)*Lookups!D$120,0)</f>
        <v>0</v>
      </c>
      <c r="BB45" s="1" cm="1">
        <f t="array" ref="BB45">_xlfn.IFS(AND(A45&lt;DA$4,B45&lt;DB$4),0,OR(_xlfn.XOR(A45&gt;DA$6,B45&gt;DB$6),_xlfn.XOR(A45&gt;=DA$4,B45&gt;=DB$4)),IF(AP45-SUM(AW45,AY45:AZ45)&gt;0,AP45-SUM(AW45,AY45:AZ45),0),AQ45-SUM(AW45,AY45:AZ45)&gt;0, AQ45-SUM(AW45,AY45:AZ45),AQ45-SUM(AW45,AY45:AZ45)&lt;=0,0)</f>
        <v>0</v>
      </c>
      <c r="BD45" s="1" cm="1">
        <f t="array" ref="BD45">_xlfn.IFS(AND(A45&gt;=DA$6,B45&gt;=DB$6),0,AND(A45&gt;=DA$6,B45&gt;=Lookups!C$35),D45/VLOOKUP(B45,Lookups!C$37:D$67,2),A45&lt;Lookups!$C$35,0,A45&gt;=Lookups!C$35,D45/VLOOKUP(A45,Lookups!C$37:D$67,2))</f>
        <v>0</v>
      </c>
      <c r="BE45" s="1" cm="1">
        <f t="array" ref="BE45">_xlfn.IFS(AND(A45&gt;=DA$6,B45&gt;=DB$6),0,AND(B45&gt;=DB$6,A45&gt;=Lookups!C$35),F45/VLOOKUP(A45,Lookups!C$37:D$67,2),B45&lt;Lookups!$C$35,0,B45&gt;=Lookups!C$35,F45/VLOOKUP(B45,Lookups!C$37:D$67,2))</f>
        <v>0</v>
      </c>
      <c r="BF45" s="1" cm="1">
        <f t="array" ref="BF45">_xlfn.IFS($BB45&lt;=0,0,AND(A45&gt;=DA$4,B45&gt;=DB$4,$BB45*I45&lt;(BD45+BE45)),0,AND(A45&gt;=DA$4,B45&gt;=DB$4,H45&gt;=(BB45*I45)-BD45-BE45),(BB45*I45)-BD45-BE45,AND(A45&gt;=DA$4,B45&gt;=DB$4,H45&lt;(BB45*I45)-BD45-BE45),H45,AND(A45&gt;=DA$4,$BB45*I45&lt;(BD45)),0,AND(A45&gt;=DA$4,H45&gt;=(BB45*I45)-BD45),(BB45*I45)-BD45,AND(A45&gt;=DA$4,H45&lt;(BB45*I45)-BD45),H45,AND(B45&gt;=DB$4,$BB45*I45&lt;(BE45)),0,AND(B45&gt;=DB$4,H45&gt;=(BB45*I45)-BE45),(BB45*I45)-BE45,AND(B45&gt;=DB$4,H45&lt;(BB45*I45)-BE45),H45)</f>
        <v>0</v>
      </c>
      <c r="BG45" s="1">
        <f t="shared" si="53"/>
        <v>0</v>
      </c>
      <c r="BH45" s="1" cm="1">
        <f t="array" ref="BH45">_xlfn.IFS(OR(D45=0,A45&lt;DA$4),0,AND(A45&gt;=DA$4,B45&gt;=DB$4,D45&lt;BD45+($BF45*(D45/$H45))+(-$BP45*(D45/$H45))),D45,AND(A45&gt;=DA$4,B45&gt;=DB$4,$BB45&gt;$BG45),BD45+($BF45*(D45/$H45))+(-$BP45*(D45/$H45)),AND(A45&gt;=DA$4,B45&gt;=DB$4,OR(A45&gt;DA$6, B45&gt;DB$6),$AP45-SUM($AW45,$AY45:$AZ45)&lt;0),BD45+($BF45*(D45/$H45))+(-$BP45*(D45/$H45))+(BP45*(D45/$H45)),AND(A45&gt;=DA$4,B45&gt;=DB$4,$AQ45-SUM($AW45,$AY45:$AZ45)&lt;0),BD45+($BF45*(D45/$H45))+(-$BP45*(D45/$H45))+(BP45*(D45/$H45)),AND(A45&gt;=DA$4,D45&lt;BD45+$BF45-$BP45),D45,AND(A45&gt;=DA$4,$AP45-SUM($AW45,$AY45:$AZ45)&lt;0),BD45+($BF45*(D45/$H45))+(-$BP45*(D45/$H45))+(BP45*(D45/$H45)),A45&gt;=DA$4,BD45+$BF45-$BP45)</f>
        <v>0</v>
      </c>
      <c r="BI45" s="1" cm="1">
        <f t="array" ref="BI45">_xlfn.IFS(OR(F45=0,B45&lt;DB$4),0,AND(A45&gt;=DA$4,B45&gt;=DB$4,F45&lt;BE45+($BF45*(F45/$H45))+(-$BP45*(F45/$H45))),F45,AND(A45&gt;=DA$4,B45&gt;=DB$4,$BB45&gt;$BG45),BE45+($BF45*(F45/$H45))+(-$BP45*(F45/$H45)),AND(A45&gt;=DA$4,B45&gt;=DB$4,OR(A45&gt;DA$6, B45&gt;DB$6),$AP45-SUM($AW45,$AY45:$AZ45)&lt;0),BE45+($BF45*(F45/$H45))+(-$BP45*(F45/$H45))+(BP45*(F45/$H45)),AND(A45&gt;=DA$4,B45&gt;=DB$4,$AQ45-SUM($AW45,$AY45:$AZ45)&lt;0),BE45+($BF45*(F45/$H45))+(-$BP45*(F45/$H45))+(BP45*(F45/$H45)),AND(B45&gt;=DB$4,F45&lt;BE45+$BF45-$BP45),F45,AND(B45&gt;=DB$4,$AP45-SUM($AW45,$AY45:$AZ45)&lt;0),BE45+($BF45*(F45/$H45))+(-$BP45*(F45/$H45))+(BP45*(F45/$H45)),B45&gt;=DB$4,BE45+$BF45-$BP45)</f>
        <v>0</v>
      </c>
      <c r="BJ45" s="64" cm="1">
        <f t="array" ref="BJ45">IF(AW45+BA45+BG45&gt;0, AW45+BA45+BG45-_xlfn.IFS(AND(A45&gt;=65,B45&gt;=65),VLOOKUP(Setup!I$4,Lookups!C$133:F$136,4),OR(A45&gt;=65,B45&gt;=65),VLOOKUP(Setup!I$4,Lookups!C$133:E$136,3),AND(A45&lt;65,B45&lt;65),VLOOKUP(Setup!I$4,Lookups!C$133:D$136,2)),0)</f>
        <v>0</v>
      </c>
      <c r="BK45" s="1" cm="1">
        <f t="array" ref="BK45">IF(BJ45&gt;0,_xlfn.IFS(Setup!I$4=Lookups!D$109,-_xlfn.IFS($BJ45&gt;=Lookups!D$157, Lookups!F$157+($BJ45-Lookups!D$157)*Lookups!G$157,$BJ45&gt;=Lookups!D$156, Lookups!F$156+($BJ45-Lookups!D$156)*Lookups!G$156,$BJ45&gt;=Lookups!D$155, Lookups!F$155+($BJ45-Lookups!D$155)*Lookups!G$155,$BJ45&gt;=Lookups!D$154, Lookups!F$154+($BJ45-Lookups!D$154)*Lookups!G$154,$BJ45&gt;=Lookups!D$153, Lookups!F$153+($BJ45-Lookups!D$153)*Lookups!G$153,$BJ45&gt;=Lookups!D$152, Lookups!F$152+($BJ45-Lookups!D$152)*Lookups!G$152,$BJ45&lt;Lookups!D$152,$BJ45*Lookups!G$151),Setup!I$4=Lookups!D$110,-_xlfn.IFS($BJ45&gt;=Lookups!D$167, Lookups!F$167+($BJ45-Lookups!D$167)*Lookups!G$167,$BJ45&gt;=Lookups!D$166, Lookups!F$166+($BJ45-Lookups!D$166)*Lookups!G$166,$BJ45&gt;=Lookups!D$165, Lookups!F$165+($BJ45-Lookups!D$165)*Lookups!G$165,$BJ45&gt;=Lookups!D$164, Lookups!F$164+($BJ45-Lookups!D$164)*Lookups!G$164,$BJ45&gt;=Lookups!D$163, Lookups!F$163+($BJ45-Lookups!D$163)*Lookups!G$163,$BJ45&gt;=Lookups!D$162, Lookups!F$162+($BJ45-Lookups!D$162)*Lookups!G$162,$BJ45&lt;Lookups!D$162,$BJ45*Lookups!G$161),Setup!I$4=Lookups!D$111,-_xlfn.IFS($BJ45&gt;=Lookups!D$177, Lookups!F$177+($BJ45-Lookups!D$177)*Lookups!G$177,$BJ45&gt;=Lookups!D$176, Lookups!F$176+($BJ45-Lookups!D$176)*Lookups!G$176,$BJ45&gt;=Lookups!D$175, Lookups!F$175+($BJ45-Lookups!D$175)*Lookups!G$175,$BJ45&gt;=Lookups!D$174, Lookups!F$174+($BJ45-Lookups!D$174)*Lookups!G$174,$BJ45&gt;=Lookups!D$173, Lookups!F$173+($BJ45-Lookups!D$173)*Lookups!G$173,$BJ45&gt;=Lookups!D$172, Lookups!F$172+($BJ45-Lookups!D$172)*Lookups!G$172,$BJ45&lt;Lookups!D$172,$BJ45*Lookups!G$171), Setup!I$4=Lookups!D$112,-_xlfn.IFS($BJ45&gt;=Lookups!D$187, Lookups!F$187+($BJ45-Lookups!D$187)*Lookups!G$187,$BJ45&gt;=Lookups!D$186, Lookups!F$186+($BJ45-Lookups!D$186)*Lookups!G$186,$BJ45&gt;=Lookups!D$185, Lookups!F$185+($BJ45-Lookups!D$185)*Lookups!G$185,$BJ45&gt;=Lookups!D$184, Lookups!F$184+($BJ45-Lookups!D$184)*Lookups!G$184,$BJ45&gt;=Lookups!D$183, Lookups!F$183+($BJ45-Lookups!D$183)*Lookups!G$183,$BJ45&gt;=Lookups!D$182, Lookups!F$182+($BJ45-Lookups!D$182)*Lookups!G$182,$BJ45&lt;Lookups!D$182,$BJ45*Lookups!G$181)),0)</f>
        <v>0</v>
      </c>
      <c r="BL45" s="18">
        <f t="shared" si="54"/>
        <v>0</v>
      </c>
      <c r="BM45" s="134">
        <f t="shared" si="55"/>
        <v>0</v>
      </c>
      <c r="BN45" s="134" cm="1">
        <f t="array" aca="1" ref="BN45" ca="1">INDIRECT(Setup!I$6&amp;"!"&amp;"A"&amp;ROW())</f>
        <v>0</v>
      </c>
      <c r="BO45" s="134">
        <f t="shared" si="56"/>
        <v>0</v>
      </c>
      <c r="BP45" s="1">
        <f t="shared" si="57"/>
        <v>0</v>
      </c>
      <c r="BQ45" s="1">
        <f t="shared" si="58"/>
        <v>0</v>
      </c>
      <c r="BS45" s="1">
        <f t="shared" si="50"/>
        <v>0</v>
      </c>
      <c r="BT45" s="1" cm="1">
        <f t="array" ref="BT45">-IF(BS45&gt;0,_xlfn.IFS((AW45+BA45+BG45+BS45)&gt;=VLOOKUP(Setup!I$4,Lookups!C$210:E$213,3),BS45*Lookups!D$203,(AW45+BA45+BG45+BS45)&gt;=VLOOKUP(Setup!I$4,Lookups!C$210:E$213,2),BS45*Lookups!D$197,(AW45+BA45+BG45+BS45)&lt;VLOOKUP(Setup!I$4,Lookups!C$210:E$213,2),0),0)</f>
        <v>0</v>
      </c>
      <c r="BU45" s="18">
        <f t="shared" si="51"/>
        <v>0</v>
      </c>
      <c r="BV45" s="1">
        <f t="shared" si="52"/>
        <v>0</v>
      </c>
      <c r="BW45" s="1" cm="1">
        <f t="array" aca="1" ref="BW45" ca="1">INDIRECT(Setup!I$6&amp;"!"&amp;"A"&amp;ROW()+100)</f>
        <v>0</v>
      </c>
      <c r="BX45" s="1">
        <f t="shared" ca="1" si="44"/>
        <v>0</v>
      </c>
      <c r="BY45" s="1">
        <f t="shared" ca="1" si="45"/>
        <v>0</v>
      </c>
      <c r="CA45" s="1">
        <f t="shared" si="59"/>
        <v>0</v>
      </c>
      <c r="CC45" s="1" cm="1">
        <f t="array" ref="CC45">_xlfn.IFS(AND(A45&lt;$DA$4,B45&lt;$DB$4),0,AND(AND(A45&gt;=$DA$4,B45&gt;=$DB$4),AND(A45&lt;=$DA$6,B45&lt;=$DB$6),AND(BH45=0,BI45=0)),SUM(AW45,AY45:AZ45,BD45:BF45,BP45,BS45,CA45)-AQ45,AND(AND(A45&gt;=$DA$4,B45&gt;=$DB$4),AND(A45&lt;=$DA$6,B45&lt;=$DB$6)),SUM(AW45,AY45:AZ45,BD45:BF45,BS45,CA45)-AQ45,AND(OR(A45&gt;=$DA$4,B45&gt;=$DB$4),AND(BH45=0,BI45=0)),SUM(AW45,AY45:AZ45,BD45:BF45,BP45,BS45,CA45)-AP45,OR(A45&gt;=$DA$4,B45&gt;=$DB$4),SUM(AW45,AY45:AZ45,BD45:BF45,BS45,CA45)-AP45)</f>
        <v>0</v>
      </c>
      <c r="CD45" s="142" t="str">
        <f t="shared" si="30"/>
        <v/>
      </c>
    </row>
    <row r="46" spans="1:82" x14ac:dyDescent="0.3">
      <c r="A46" s="354">
        <f t="shared" si="31"/>
        <v>39</v>
      </c>
      <c r="B46" s="354">
        <f t="shared" si="32"/>
        <v>39</v>
      </c>
      <c r="C46" s="359">
        <f t="shared" si="33"/>
        <v>14246</v>
      </c>
      <c r="D46" s="326" cm="1">
        <f t="array" ref="D46">_xlfn.IFS(AND(A46&gt;DA$6,B46&gt;DB$6),0,AND(A46&gt;DA$3,A46&lt;=DA$4),D45*(1+DH$1),OR(A46&gt;DA$6,A46&gt;DA$4),(D45-BH45)*(1+DH$2),A46&lt;=DA$4,(D45*(1+DH$1))+(D$4))</f>
        <v>0</v>
      </c>
      <c r="E46" s="375"/>
      <c r="F46" s="326" cm="1">
        <f t="array" ref="F46">_xlfn.IFS(AND(A46&gt;DA$6,B46&gt;DB$6),0,AND(B46&gt;DB$3,B46&lt;=DB$4),F45*(1+DH$1),OR(B46&gt;DB$6,B46&gt;DB$4),(F45-BI45)*(1+DH$2),B46&lt;=DB$4,(F45*(1+DH$1))+(F$4))</f>
        <v>0</v>
      </c>
      <c r="G46" s="375"/>
      <c r="H46" s="1">
        <f t="shared" si="60"/>
        <v>0</v>
      </c>
      <c r="I46" s="2">
        <f t="shared" si="36"/>
        <v>0</v>
      </c>
      <c r="J46" s="14">
        <f t="shared" si="35"/>
        <v>0</v>
      </c>
      <c r="L46" s="402" cm="1">
        <f t="array" ref="L46">_xlfn.IFS(AND(A46&gt;DA$6,B46&gt;DB$6),0,A46&lt;DA$6,0,A46=DA$6,L$4,AND(A46&gt;DA$6,B46&lt;=DB$4),L45*(1+DH$1),AND(A46&gt;DA$6,B46&gt;DB$4),IF(Y45=0,0,(L45-((L45/Y45)*BY45))*(1+DH$2)))</f>
        <v>0</v>
      </c>
      <c r="M46" s="402" cm="1">
        <f t="array" ref="M46">_xlfn.IFS(AND(A46&gt;DA$6,B46&gt;DB$6),0,B46&lt;DB$6,0,B46=DB$6,M$4,AND(B46&gt;DB$6,A46&lt;=DA$4),M45*(1+DH$1),AND(A46&gt;DA$4,B46&gt;DB$6),IF(Y45=0,0,(M45-((M45/Y45)*BY45))*(1+DH$2)))</f>
        <v>0</v>
      </c>
      <c r="N46" s="327"/>
      <c r="O46" s="327" cm="1">
        <f t="array" ref="O46">_xlfn.IFS(OR(ISBLANK(Setup!C$63),Setup!C$63&gt;YEAR(C46),AND(A46&gt;DA$6,B46&gt;DB$6),ISBLANK(Y45)),0,Setup!C$63=YEAR(C46),Setup!C$62,AND(OR(A46&lt;=DA$4,B46&lt;=DB$4),Setup!C$63&lt;YEAR(C46)),O45*(1+DH$1),AND(A46&gt;DA$4,B46&gt;DB$4,Setup!C$63&lt;YEAR(C46)),IF(Y45=0,0,(O45-((O45/Y45)*BY45))*(1+DH$2)))</f>
        <v>0</v>
      </c>
      <c r="P46" s="327" cm="1">
        <f t="array" ref="P46">_xlfn.IFS(OR(ISBLANK(Setup!C$67),Setup!C$67&gt;YEAR(C46),AND(A46&gt;DA$6,B46&gt;DB$6)),0,Setup!C$67=YEAR(C46),Setup!C$66,AND(OR(A46&lt;=DA$4,B46&lt;=DB$4),Setup!C$67&lt;YEAR(C46)),P45*(1+DH$1),AND(A46&gt;DA$4,B46&gt;DB$4,Setup!C$67&lt;YEAR(C46)),IF(Y45=0,0,(P45-((P45/Y45)*BY45))*(1+DH$2)))</f>
        <v>0</v>
      </c>
      <c r="Q46" s="327" cm="1">
        <f t="array" ref="Q46">_xlfn.IFS(OR(ISBLANK(Setup!C$71),Setup!C$71&gt;YEAR(C46),AND(A46&gt;DA$6,B46&gt;DB$6)),0,Setup!C$71=YEAR(C46),Setup!C$70,AND(OR(A46&lt;=DA$4,B46&lt;=DB$4),Setup!C$71&lt;YEAR(C46)),Q45*(1+DH$1),AND(A46&gt;DA$4,B46&gt;DB$4,Setup!C$71&lt;YEAR(C46)),IF(Y45=0,0,(Q45-((Q45/Y45)*BY45))*(1+DH$2)))</f>
        <v>0</v>
      </c>
      <c r="R46" s="327" cm="1">
        <f t="array" ref="R46">_xlfn.IFS(OR(ISBLANK(Setup!C$75),Setup!C$75&gt;YEAR(C46),AND(A46&gt;DA$6,B46&gt;DB$6)),0,Setup!C$75=YEAR(C46),Setup!C$74,AND(OR(A46&lt;=DA$4,B46&lt;=DB$4),Setup!C$75&lt;YEAR(C46)),R45*(1+DH$1),AND(A46&gt;DA$4,B46&gt;DB$4,Setup!C$75&lt;YEAR(C46)),IF(Y45=0,0,(R45-((R45/Y45)*BY45))*(1+DH$2)))</f>
        <v>0</v>
      </c>
      <c r="S46" s="327"/>
      <c r="T46" s="326" cm="1">
        <f t="array" ref="T46">_xlfn.IFS(AND($A46&gt;$DA$6,$B46&gt;$DB$6),0,AND($W$2=$DA$2,$A46&gt;$DA$4),IF($Y45=0,0,(T45-((T45/$Y45)*$BY45))*(1+$DH$2)),AND($W$2=$DB$2,$B46&gt;$DB$4),IF($Y45=0,0,(T45-((T45/$Y45)*$BY45))*(1+$DH$2)),AND($W$2=$DA$2,OR($A46&gt;$DA$3,$A46&gt;$DA$6)),(T45*(1+$DH$1)),AND($W$2=$DB$2,OR($B46&gt;$DB$3,$B46&gt;$DB$6)),(T45*(1+$DH$1)),AND($W$2=$DA$2,$A46&lt;=$DA$3,$A46&lt;=$DA$4,$A46&lt;=$DA$5),(T45*(1+$DH$1))+(T$4),AND($W$2=$DB$2,$B46&lt;=$DB$3,$B46&lt;=$DB$4,$B46&lt;=$DB$5),(T45*(1+$DH$1))+(T$4))</f>
        <v>0</v>
      </c>
      <c r="U46" s="326" cm="1">
        <f t="array" ref="U46">_xlfn.IFS(AND($A46&gt;$DA$6,$B46&gt;$DB$6),0,AND($W$2=$DA$2,$A46&gt;$DA$4),IF($Y45=0,0,(U45-((U45/$Y45)*$BY45))*(1+$DH$2)),AND($W$2=$DB$2,$B46&gt;$DB$4),IF($Y45=0,0,(U45-((U45/$Y45)*$BY45))*(1+$DH$2)),AND($W$2=$DA$2,OR($A46&gt;$DA$3,$A46&gt;$DA$6)),(U45*(1+$DH$1)),AND($W$2=$DB$2,OR($B46&gt;$DB$3,$B46&gt;$DB$6)),(U45*(1+$DH$1)),AND($W$2=$DA$2,$A46&lt;=$DA$3,$A46&lt;=$DA$4,$A46&lt;=$DA$5),(U45*(1+$DH$1))+(U$4),AND($W$2=$DB$2,$B46&lt;=$DB$3,$B46&lt;=$DB$4,$B46&lt;=$DB$5),(U45*(1+$DH$1))+(U$4))</f>
        <v>0</v>
      </c>
      <c r="V46" s="326" cm="1">
        <f t="array" ref="V46">_xlfn.IFS(AND($A46&gt;$DA$6,$B46&gt;$DB$6),0,AND($W$2=$DA$2,$A46&gt;$DA$4),IF($Y45=0,0,(V45-((V45/$Y45)*$BY45))*(1+$DH$2)),AND($W$2=$DB$2,$B46&gt;$DB$4),IF($Y45=0,0,(V45-((V45/$Y45)*$BY45))*(1+$DH$2)),AND($W$2=$DA$2,OR($A46&gt;$DA$3,$A46&gt;$DA$6)),(V45*(1+$DH$1)),AND($W$2=$DB$2,OR($B46&gt;$DB$3,$B46&gt;$DB$6)),(V45*(1+$DH$1)),AND($W$2=$DA$2,$A46&lt;=$DA$3,$A46&lt;=$DA$4,$A46&lt;=$DA$5),(V45*(1+$DH$1))+(V$4),AND($W$2=$DB$2,$B46&lt;=$DB$3,$B46&lt;=$DB$4,$B46&lt;=$DB$5),(V45*(1+$DH$1))+(V$4))</f>
        <v>0</v>
      </c>
      <c r="W46" s="326" cm="1">
        <f t="array" ref="W46">_xlfn.IFS(AND($A46&gt;$DA$6,$B46&gt;$DB$6),0,AND($W$2=$DA$2,$A46&gt;$DA$4),IF($Y45=0,0,(W45-((W45/$Y45)*$BY45))*(1+$DH$2)),AND($W$2=$DB$2,$B46&gt;$DB$4),IF($Y45=0,0,(W45-((W45/$Y45)*$BY45))*(1+$DH$2)),AND($W$2=$DA$2,OR($A46&gt;$DA$3,$A46&gt;$DA$6)),(W45*(1+$DH$1)),AND($W$2=$DB$2,OR($B46&gt;$DB$3,$B46&gt;$DB$6)),(W45*(1+$DH$1)),AND($W$2=$DA$2,$A46&lt;=$DA$3,$A46&lt;=$DA$4,$A46&lt;=$DA$5),(W45*(1+$DH$1))+(W$4),AND($W$2=$DB$2,$B46&lt;=$DB$3,$B46&lt;=$DB$4,$B46&lt;=$DB$5),(W45*(1+$DH$1))+(W$4))</f>
        <v>0</v>
      </c>
      <c r="Y46" s="1">
        <f t="shared" si="47"/>
        <v>0</v>
      </c>
      <c r="Z46" s="2">
        <f t="shared" si="37"/>
        <v>0</v>
      </c>
      <c r="AA46" s="375"/>
      <c r="AC46" s="326" cm="1">
        <f t="array" ref="AC46">_xlfn.IFS(AND(A46&gt;DA$6,B46&gt;DB$6),0,AND(A46&gt;DA$4,B46&gt;DB$4),IF(AG45=0,0,(AC45-((AC45/AG45)*CA45))*(1+DH$2)),OR(A46&gt;DA$3,A46&gt;DA$6),AC45*(1+DH$1),A46&gt;DA$4,(AC45-CA45)*(1+DH$2),AND(A46&lt;=DA$3,A46&lt;=DA$4,A46&lt;=DA$6),(AC45*(1+DH$1))+(AC$4))</f>
        <v>0</v>
      </c>
      <c r="AD46" s="375"/>
      <c r="AE46" s="326" cm="1">
        <f t="array" ref="AE46">_xlfn.IFS(AND(A46&gt;DA$6,B46&gt;DB$6),0,AND(A46&gt;DA$4,B46&gt;DB$4),IF(AG45=0,0,(AE45-((AE45/AG45)*CA45))*(1+DH$2)),OR(B46&gt;DB$3,B46&gt;DB$6),AE45*(1+DH$1),B46&gt;DB$4,(AE45-CA45)*(1+DH$2),AND(B46&lt;=DB$3,B46&lt;=DB$4,B46&lt;=DB$6),(AE45*(1+DH$1))+(AE$4))</f>
        <v>0</v>
      </c>
      <c r="AF46" s="375"/>
      <c r="AG46" s="1">
        <f t="shared" si="61"/>
        <v>0</v>
      </c>
      <c r="AH46" s="2">
        <f t="shared" si="48"/>
        <v>0</v>
      </c>
      <c r="AI46" s="14">
        <f t="shared" si="38"/>
        <v>0</v>
      </c>
      <c r="AK46" s="1">
        <f t="shared" si="49"/>
        <v>0</v>
      </c>
      <c r="AL46" s="14">
        <f t="shared" si="39"/>
        <v>0</v>
      </c>
      <c r="AM46" s="14" t="str">
        <f t="shared" si="23"/>
        <v/>
      </c>
      <c r="AO46" s="15">
        <f t="shared" si="40"/>
        <v>0</v>
      </c>
      <c r="AP46" s="1">
        <f>IF(AND(B46&gt;=$DB$6,A46&gt;=$DA$6),0,AP45*(1+Lookups!C$12))</f>
        <v>0</v>
      </c>
      <c r="AQ46" s="1">
        <f>IF(AND(B46&gt;=$DB$6,A46&gt;=$DA$6),0,AQ45*(1+Lookups!C$12))</f>
        <v>0</v>
      </c>
      <c r="AS46" s="1" cm="1">
        <f t="array" ref="AS46">_xlfn.IFS(OR(AS$6="",AND(A46&gt;=DA$6,B46&gt;=DB$6),AND(A46&lt;DA$4,B46&lt;DB$4)),0,AND(A46=DA$4,DA$4&lt;=DB$4),AS$6,AND(B46=DB$4,DA$4&gt;=DB$4),AS$6,OR(A46&gt;DA$4,B46&gt;DB$4),AS45*(1+Setup!C$103))</f>
        <v>0</v>
      </c>
      <c r="AT46" s="1" cm="1">
        <f t="array" ref="AT46">_xlfn.IFS(OR(AT$6="",AND(A46&gt;=DA$6,B46&gt;=DB$6),AND(A46&lt;DA$4,B46&lt;DB$4)),0,AND(A46=DA$4,DA$4&lt;=DB$4),AT$6,AND(B46=DB$4,DA$4&gt;=DB$4),AT$6,OR(A46&gt;DA$4,B46&gt;DB$4),AT45*(1+Setup!C$103))</f>
        <v>0</v>
      </c>
      <c r="AU46" s="1" cm="1">
        <f t="array" ref="AU46">_xlfn.IFS(OR(AU$6="",AND(A46&gt;=DA$6,B46&gt;=DB$6),AND(A46&lt;DA$4,B46&lt;DB$4)),0,AND(A46=DA$4,DA$4&lt;=DB$4),AU$6,AND(B46=DB$4,DA$4&gt;=DB$4),AU$6,OR(A46&gt;DA$4,B46&gt;DB$4),AU45*(1+Setup!C$103))</f>
        <v>0</v>
      </c>
      <c r="AV46" s="1" cm="1">
        <f t="array" ref="AV46">_xlfn.IFS(OR(AV$6="",AND(A46&gt;=DA$6,B46&gt;=DB$6),AND(A46&lt;DA$4,B46&lt;DB$4)),0,AND(A46=DA$4,DA$4&lt;=DB$4),AV$6,AND(B46=DB$4,DA$4&gt;=DB$4),AV$6,OR(A46&gt;DA$4,B46&gt;DB$4),AV45*(1+Setup!C$103))</f>
        <v>0</v>
      </c>
      <c r="AW46" s="1">
        <f t="shared" si="41"/>
        <v>0</v>
      </c>
      <c r="AY46" s="1" cm="1">
        <f t="array" ref="AY46">_xlfn.IFS(OR(AND(A46&gt;=DA$6,B46&gt;=DB$6),A46&lt;DA$5),0,AND(A46=DA$5,YEAR(C46)&gt;=Lookups!D$89),VLOOKUP(A46,Lookups!B$94:F$102,3),AND(A46=DA$5,YEAR(C46)&lt;Lookups!D$89),VLOOKUP(A46,Lookups!B$94:F$102,2),AND(A46&gt;DA$5,YEAR(C46)=Lookups!D$89),(AY45*Lookups!D$90)*(1+Lookups!C$20),AND(A46&gt;DA$5,YEAR(C46)&lt;&gt;Lookups!D$89),AY45*(1+Lookups!C$20))</f>
        <v>0</v>
      </c>
      <c r="AZ46" s="1" cm="1">
        <f t="array" ref="AZ46">_xlfn.IFS(OR(ISBLANK(Setup!K$91),Setup!K$91=0,AND(A46&gt;=DA$6,B46&gt;=DB$6),B46&lt;DB$5),0,AND(B46=DB$5,YEAR(C46)&gt;=Lookups!D$89),VLOOKUP(B46,Lookups!B$94:F$102,5),AND(B46=DB$5,YEAR(C46)&lt;Lookups!D$89),VLOOKUP(B46,Lookups!B$94:F$102,4),AND(B46&gt;DB$5,YEAR(C46)=Lookups!D$89),(AZ45*Lookups!D$90)*(1+Lookups!C$20),AND(B46&gt;DB$5,YEAR(C46)&lt;&gt;Lookups!D$89),AZ45*(1+Lookups!C$20))</f>
        <v>0</v>
      </c>
      <c r="BA46" s="65">
        <f>IF(OR(AY46&gt;0,AZ46&gt;0),(AY46+AZ46)*Lookups!D$120,0)</f>
        <v>0</v>
      </c>
      <c r="BB46" s="1" cm="1">
        <f t="array" ref="BB46">_xlfn.IFS(AND(A46&lt;DA$4,B46&lt;DB$4),0,OR(_xlfn.XOR(A46&gt;DA$6,B46&gt;DB$6),_xlfn.XOR(A46&gt;=DA$4,B46&gt;=DB$4)),IF(AP46-SUM(AW46,AY46:AZ46)&gt;0,AP46-SUM(AW46,AY46:AZ46),0),AQ46-SUM(AW46,AY46:AZ46)&gt;0, AQ46-SUM(AW46,AY46:AZ46),AQ46-SUM(AW46,AY46:AZ46)&lt;=0,0)</f>
        <v>0</v>
      </c>
      <c r="BD46" s="1" cm="1">
        <f t="array" ref="BD46">_xlfn.IFS(AND(A46&gt;=DA$6,B46&gt;=DB$6),0,AND(A46&gt;=DA$6,B46&gt;=Lookups!C$35),D46/VLOOKUP(B46,Lookups!C$37:D$67,2),A46&lt;Lookups!$C$35,0,A46&gt;=Lookups!C$35,D46/VLOOKUP(A46,Lookups!C$37:D$67,2))</f>
        <v>0</v>
      </c>
      <c r="BE46" s="1" cm="1">
        <f t="array" ref="BE46">_xlfn.IFS(AND(A46&gt;=DA$6,B46&gt;=DB$6),0,AND(B46&gt;=DB$6,A46&gt;=Lookups!C$35),F46/VLOOKUP(A46,Lookups!C$37:D$67,2),B46&lt;Lookups!$C$35,0,B46&gt;=Lookups!C$35,F46/VLOOKUP(B46,Lookups!C$37:D$67,2))</f>
        <v>0</v>
      </c>
      <c r="BF46" s="1" cm="1">
        <f t="array" ref="BF46">_xlfn.IFS($BB46&lt;=0,0,AND(A46&gt;=DA$4,B46&gt;=DB$4,$BB46*I46&lt;(BD46+BE46)),0,AND(A46&gt;=DA$4,B46&gt;=DB$4,H46&gt;=(BB46*I46)-BD46-BE46),(BB46*I46)-BD46-BE46,AND(A46&gt;=DA$4,B46&gt;=DB$4,H46&lt;(BB46*I46)-BD46-BE46),H46,AND(A46&gt;=DA$4,$BB46*I46&lt;(BD46)),0,AND(A46&gt;=DA$4,H46&gt;=(BB46*I46)-BD46),(BB46*I46)-BD46,AND(A46&gt;=DA$4,H46&lt;(BB46*I46)-BD46),H46,AND(B46&gt;=DB$4,$BB46*I46&lt;(BE46)),0,AND(B46&gt;=DB$4,H46&gt;=(BB46*I46)-BE46),(BB46*I46)-BE46,AND(B46&gt;=DB$4,H46&lt;(BB46*I46)-BE46),H46)</f>
        <v>0</v>
      </c>
      <c r="BG46" s="1">
        <f t="shared" si="53"/>
        <v>0</v>
      </c>
      <c r="BH46" s="1" cm="1">
        <f t="array" ref="BH46">_xlfn.IFS(OR(D46=0,A46&lt;DA$4),0,AND(A46&gt;=DA$4,B46&gt;=DB$4,D46&lt;BD46+($BF46*(D46/$H46))+(-$BP46*(D46/$H46))),D46,AND(A46&gt;=DA$4,B46&gt;=DB$4,$BB46&gt;$BG46),BD46+($BF46*(D46/$H46))+(-$BP46*(D46/$H46)),AND(A46&gt;=DA$4,B46&gt;=DB$4,OR(A46&gt;DA$6, B46&gt;DB$6),$AP46-SUM($AW46,$AY46:$AZ46)&lt;0),BD46+($BF46*(D46/$H46))+(-$BP46*(D46/$H46))+(BP46*(D46/$H46)),AND(A46&gt;=DA$4,B46&gt;=DB$4,$AQ46-SUM($AW46,$AY46:$AZ46)&lt;0),BD46+($BF46*(D46/$H46))+(-$BP46*(D46/$H46))+(BP46*(D46/$H46)),AND(A46&gt;=DA$4,D46&lt;BD46+$BF46-$BP46),D46,AND(A46&gt;=DA$4,$AP46-SUM($AW46,$AY46:$AZ46)&lt;0),BD46+($BF46*(D46/$H46))+(-$BP46*(D46/$H46))+(BP46*(D46/$H46)),A46&gt;=DA$4,BD46+$BF46-$BP46)</f>
        <v>0</v>
      </c>
      <c r="BI46" s="1" cm="1">
        <f t="array" ref="BI46">_xlfn.IFS(OR(F46=0,B46&lt;DB$4),0,AND(A46&gt;=DA$4,B46&gt;=DB$4,F46&lt;BE46+($BF46*(F46/$H46))+(-$BP46*(F46/$H46))),F46,AND(A46&gt;=DA$4,B46&gt;=DB$4,$BB46&gt;$BG46),BE46+($BF46*(F46/$H46))+(-$BP46*(F46/$H46)),AND(A46&gt;=DA$4,B46&gt;=DB$4,OR(A46&gt;DA$6, B46&gt;DB$6),$AP46-SUM($AW46,$AY46:$AZ46)&lt;0),BE46+($BF46*(F46/$H46))+(-$BP46*(F46/$H46))+(BP46*(F46/$H46)),AND(A46&gt;=DA$4,B46&gt;=DB$4,$AQ46-SUM($AW46,$AY46:$AZ46)&lt;0),BE46+($BF46*(F46/$H46))+(-$BP46*(F46/$H46))+(BP46*(F46/$H46)),AND(B46&gt;=DB$4,F46&lt;BE46+$BF46-$BP46),F46,AND(B46&gt;=DB$4,$AP46-SUM($AW46,$AY46:$AZ46)&lt;0),BE46+($BF46*(F46/$H46))+(-$BP46*(F46/$H46))+(BP46*(F46/$H46)),B46&gt;=DB$4,BE46+$BF46-$BP46)</f>
        <v>0</v>
      </c>
      <c r="BJ46" s="64" cm="1">
        <f t="array" ref="BJ46">IF(AW46+BA46+BG46&gt;0, AW46+BA46+BG46-_xlfn.IFS(AND(A46&gt;=65,B46&gt;=65),VLOOKUP(Setup!I$4,Lookups!C$133:F$136,4),OR(A46&gt;=65,B46&gt;=65),VLOOKUP(Setup!I$4,Lookups!C$133:E$136,3),AND(A46&lt;65,B46&lt;65),VLOOKUP(Setup!I$4,Lookups!C$133:D$136,2)),0)</f>
        <v>0</v>
      </c>
      <c r="BK46" s="1" cm="1">
        <f t="array" ref="BK46">IF(BJ46&gt;0,_xlfn.IFS(Setup!I$4=Lookups!D$109,-_xlfn.IFS($BJ46&gt;=Lookups!D$157, Lookups!F$157+($BJ46-Lookups!D$157)*Lookups!G$157,$BJ46&gt;=Lookups!D$156, Lookups!F$156+($BJ46-Lookups!D$156)*Lookups!G$156,$BJ46&gt;=Lookups!D$155, Lookups!F$155+($BJ46-Lookups!D$155)*Lookups!G$155,$BJ46&gt;=Lookups!D$154, Lookups!F$154+($BJ46-Lookups!D$154)*Lookups!G$154,$BJ46&gt;=Lookups!D$153, Lookups!F$153+($BJ46-Lookups!D$153)*Lookups!G$153,$BJ46&gt;=Lookups!D$152, Lookups!F$152+($BJ46-Lookups!D$152)*Lookups!G$152,$BJ46&lt;Lookups!D$152,$BJ46*Lookups!G$151),Setup!I$4=Lookups!D$110,-_xlfn.IFS($BJ46&gt;=Lookups!D$167, Lookups!F$167+($BJ46-Lookups!D$167)*Lookups!G$167,$BJ46&gt;=Lookups!D$166, Lookups!F$166+($BJ46-Lookups!D$166)*Lookups!G$166,$BJ46&gt;=Lookups!D$165, Lookups!F$165+($BJ46-Lookups!D$165)*Lookups!G$165,$BJ46&gt;=Lookups!D$164, Lookups!F$164+($BJ46-Lookups!D$164)*Lookups!G$164,$BJ46&gt;=Lookups!D$163, Lookups!F$163+($BJ46-Lookups!D$163)*Lookups!G$163,$BJ46&gt;=Lookups!D$162, Lookups!F$162+($BJ46-Lookups!D$162)*Lookups!G$162,$BJ46&lt;Lookups!D$162,$BJ46*Lookups!G$161),Setup!I$4=Lookups!D$111,-_xlfn.IFS($BJ46&gt;=Lookups!D$177, Lookups!F$177+($BJ46-Lookups!D$177)*Lookups!G$177,$BJ46&gt;=Lookups!D$176, Lookups!F$176+($BJ46-Lookups!D$176)*Lookups!G$176,$BJ46&gt;=Lookups!D$175, Lookups!F$175+($BJ46-Lookups!D$175)*Lookups!G$175,$BJ46&gt;=Lookups!D$174, Lookups!F$174+($BJ46-Lookups!D$174)*Lookups!G$174,$BJ46&gt;=Lookups!D$173, Lookups!F$173+($BJ46-Lookups!D$173)*Lookups!G$173,$BJ46&gt;=Lookups!D$172, Lookups!F$172+($BJ46-Lookups!D$172)*Lookups!G$172,$BJ46&lt;Lookups!D$172,$BJ46*Lookups!G$171), Setup!I$4=Lookups!D$112,-_xlfn.IFS($BJ46&gt;=Lookups!D$187, Lookups!F$187+($BJ46-Lookups!D$187)*Lookups!G$187,$BJ46&gt;=Lookups!D$186, Lookups!F$186+($BJ46-Lookups!D$186)*Lookups!G$186,$BJ46&gt;=Lookups!D$185, Lookups!F$185+($BJ46-Lookups!D$185)*Lookups!G$185,$BJ46&gt;=Lookups!D$184, Lookups!F$184+($BJ46-Lookups!D$184)*Lookups!G$184,$BJ46&gt;=Lookups!D$183, Lookups!F$183+($BJ46-Lookups!D$183)*Lookups!G$183,$BJ46&gt;=Lookups!D$182, Lookups!F$182+($BJ46-Lookups!D$182)*Lookups!G$182,$BJ46&lt;Lookups!D$182,$BJ46*Lookups!G$181)),0)</f>
        <v>0</v>
      </c>
      <c r="BL46" s="18">
        <f t="shared" si="54"/>
        <v>0</v>
      </c>
      <c r="BM46" s="134">
        <f t="shared" si="55"/>
        <v>0</v>
      </c>
      <c r="BN46" s="134" cm="1">
        <f t="array" aca="1" ref="BN46" ca="1">INDIRECT(Setup!I$6&amp;"!"&amp;"A"&amp;ROW())</f>
        <v>0</v>
      </c>
      <c r="BO46" s="134">
        <f t="shared" si="56"/>
        <v>0</v>
      </c>
      <c r="BP46" s="1">
        <f t="shared" si="57"/>
        <v>0</v>
      </c>
      <c r="BQ46" s="1">
        <f t="shared" si="58"/>
        <v>0</v>
      </c>
      <c r="BS46" s="1">
        <f t="shared" si="50"/>
        <v>0</v>
      </c>
      <c r="BT46" s="1" cm="1">
        <f t="array" ref="BT46">-IF(BS46&gt;0,_xlfn.IFS((AW46+BA46+BG46+BS46)&gt;=VLOOKUP(Setup!I$4,Lookups!C$210:E$213,3),BS46*Lookups!D$203,(AW46+BA46+BG46+BS46)&gt;=VLOOKUP(Setup!I$4,Lookups!C$210:E$213,2),BS46*Lookups!D$197,(AW46+BA46+BG46+BS46)&lt;VLOOKUP(Setup!I$4,Lookups!C$210:E$213,2),0),0)</f>
        <v>0</v>
      </c>
      <c r="BU46" s="18">
        <f t="shared" si="51"/>
        <v>0</v>
      </c>
      <c r="BV46" s="1">
        <f t="shared" si="52"/>
        <v>0</v>
      </c>
      <c r="BW46" s="1" cm="1">
        <f t="array" aca="1" ref="BW46" ca="1">INDIRECT(Setup!I$6&amp;"!"&amp;"A"&amp;ROW()+100)</f>
        <v>0</v>
      </c>
      <c r="BX46" s="1">
        <f t="shared" ca="1" si="44"/>
        <v>0</v>
      </c>
      <c r="BY46" s="1">
        <f t="shared" ca="1" si="45"/>
        <v>0</v>
      </c>
      <c r="CA46" s="1">
        <f t="shared" si="59"/>
        <v>0</v>
      </c>
      <c r="CC46" s="1" cm="1">
        <f t="array" ref="CC46">_xlfn.IFS(AND(A46&lt;$DA$4,B46&lt;$DB$4),0,AND(AND(A46&gt;=$DA$4,B46&gt;=$DB$4),AND(A46&lt;=$DA$6,B46&lt;=$DB$6),AND(BH46=0,BI46=0)),SUM(AW46,AY46:AZ46,BD46:BF46,BP46,BS46,CA46)-AQ46,AND(AND(A46&gt;=$DA$4,B46&gt;=$DB$4),AND(A46&lt;=$DA$6,B46&lt;=$DB$6)),SUM(AW46,AY46:AZ46,BD46:BF46,BS46,CA46)-AQ46,AND(OR(A46&gt;=$DA$4,B46&gt;=$DB$4),AND(BH46=0,BI46=0)),SUM(AW46,AY46:AZ46,BD46:BF46,BP46,BS46,CA46)-AP46,OR(A46&gt;=$DA$4,B46&gt;=$DB$4),SUM(AW46,AY46:AZ46,BD46:BF46,BS46,CA46)-AP46)</f>
        <v>0</v>
      </c>
      <c r="CD46" s="142" t="str">
        <f t="shared" si="30"/>
        <v/>
      </c>
    </row>
    <row r="47" spans="1:82" x14ac:dyDescent="0.3">
      <c r="A47" s="354">
        <f t="shared" si="31"/>
        <v>40</v>
      </c>
      <c r="B47" s="354">
        <f t="shared" si="32"/>
        <v>40</v>
      </c>
      <c r="C47" s="359">
        <f t="shared" si="33"/>
        <v>14611</v>
      </c>
      <c r="D47" s="326" cm="1">
        <f t="array" ref="D47">_xlfn.IFS(AND(A47&gt;DA$6,B47&gt;DB$6),0,AND(A47&gt;DA$3,A47&lt;=DA$4),D46*(1+DH$1),OR(A47&gt;DA$6,A47&gt;DA$4),(D46-BH46)*(1+DH$2),A47&lt;=DA$4,(D46*(1+DH$1))+(D$4))</f>
        <v>0</v>
      </c>
      <c r="E47" s="375"/>
      <c r="F47" s="326" cm="1">
        <f t="array" ref="F47">_xlfn.IFS(AND(A47&gt;DA$6,B47&gt;DB$6),0,AND(B47&gt;DB$3,B47&lt;=DB$4),F46*(1+DH$1),OR(B47&gt;DB$6,B47&gt;DB$4),(F46-BI46)*(1+DH$2),B47&lt;=DB$4,(F46*(1+DH$1))+(F$4))</f>
        <v>0</v>
      </c>
      <c r="G47" s="375"/>
      <c r="H47" s="1">
        <f t="shared" si="60"/>
        <v>0</v>
      </c>
      <c r="I47" s="2">
        <f t="shared" si="36"/>
        <v>0</v>
      </c>
      <c r="J47" s="14">
        <f t="shared" si="35"/>
        <v>0</v>
      </c>
      <c r="L47" s="402" cm="1">
        <f t="array" ref="L47">_xlfn.IFS(AND(A47&gt;DA$6,B47&gt;DB$6),0,A47&lt;DA$6,0,A47=DA$6,L$4,AND(A47&gt;DA$6,B47&lt;=DB$4),L46*(1+DH$1),AND(A47&gt;DA$6,B47&gt;DB$4),IF(Y46=0,0,(L46-((L46/Y46)*BY46))*(1+DH$2)))</f>
        <v>0</v>
      </c>
      <c r="M47" s="402" cm="1">
        <f t="array" ref="M47">_xlfn.IFS(AND(A47&gt;DA$6,B47&gt;DB$6),0,B47&lt;DB$6,0,B47=DB$6,M$4,AND(B47&gt;DB$6,A47&lt;=DA$4),M46*(1+DH$1),AND(A47&gt;DA$4,B47&gt;DB$6),IF(Y46=0,0,(M46-((M46/Y46)*BY46))*(1+DH$2)))</f>
        <v>0</v>
      </c>
      <c r="N47" s="327"/>
      <c r="O47" s="327" cm="1">
        <f t="array" ref="O47">_xlfn.IFS(OR(ISBLANK(Setup!C$63),Setup!C$63&gt;YEAR(C47),AND(A47&gt;DA$6,B47&gt;DB$6),ISBLANK(Y46)),0,Setup!C$63=YEAR(C47),Setup!C$62,AND(OR(A47&lt;=DA$4,B47&lt;=DB$4),Setup!C$63&lt;YEAR(C47)),O46*(1+DH$1),AND(A47&gt;DA$4,B47&gt;DB$4,Setup!C$63&lt;YEAR(C47)),IF(Y46=0,0,(O46-((O46/Y46)*BY46))*(1+DH$2)))</f>
        <v>0</v>
      </c>
      <c r="P47" s="327" cm="1">
        <f t="array" ref="P47">_xlfn.IFS(OR(ISBLANK(Setup!C$67),Setup!C$67&gt;YEAR(C47),AND(A47&gt;DA$6,B47&gt;DB$6)),0,Setup!C$67=YEAR(C47),Setup!C$66,AND(OR(A47&lt;=DA$4,B47&lt;=DB$4),Setup!C$67&lt;YEAR(C47)),P46*(1+DH$1),AND(A47&gt;DA$4,B47&gt;DB$4,Setup!C$67&lt;YEAR(C47)),IF(Y46=0,0,(P46-((P46/Y46)*BY46))*(1+DH$2)))</f>
        <v>0</v>
      </c>
      <c r="Q47" s="327" cm="1">
        <f t="array" ref="Q47">_xlfn.IFS(OR(ISBLANK(Setup!C$71),Setup!C$71&gt;YEAR(C47),AND(A47&gt;DA$6,B47&gt;DB$6)),0,Setup!C$71=YEAR(C47),Setup!C$70,AND(OR(A47&lt;=DA$4,B47&lt;=DB$4),Setup!C$71&lt;YEAR(C47)),Q46*(1+DH$1),AND(A47&gt;DA$4,B47&gt;DB$4,Setup!C$71&lt;YEAR(C47)),IF(Y46=0,0,(Q46-((Q46/Y46)*BY46))*(1+DH$2)))</f>
        <v>0</v>
      </c>
      <c r="R47" s="327" cm="1">
        <f t="array" ref="R47">_xlfn.IFS(OR(ISBLANK(Setup!C$75),Setup!C$75&gt;YEAR(C47),AND(A47&gt;DA$6,B47&gt;DB$6)),0,Setup!C$75=YEAR(C47),Setup!C$74,AND(OR(A47&lt;=DA$4,B47&lt;=DB$4),Setup!C$75&lt;YEAR(C47)),R46*(1+DH$1),AND(A47&gt;DA$4,B47&gt;DB$4,Setup!C$75&lt;YEAR(C47)),IF(Y46=0,0,(R46-((R46/Y46)*BY46))*(1+DH$2)))</f>
        <v>0</v>
      </c>
      <c r="S47" s="327"/>
      <c r="T47" s="326" cm="1">
        <f t="array" ref="T47">_xlfn.IFS(AND($A47&gt;$DA$6,$B47&gt;$DB$6),0,AND($W$2=$DA$2,$A47&gt;$DA$4),IF($Y46=0,0,(T46-((T46/$Y46)*$BY46))*(1+$DH$2)),AND($W$2=$DB$2,$B47&gt;$DB$4),IF($Y46=0,0,(T46-((T46/$Y46)*$BY46))*(1+$DH$2)),AND($W$2=$DA$2,OR($A47&gt;$DA$3,$A47&gt;$DA$6)),(T46*(1+$DH$1)),AND($W$2=$DB$2,OR($B47&gt;$DB$3,$B47&gt;$DB$6)),(T46*(1+$DH$1)),AND($W$2=$DA$2,$A47&lt;=$DA$3,$A47&lt;=$DA$4,$A47&lt;=$DA$5),(T46*(1+$DH$1))+(T$4),AND($W$2=$DB$2,$B47&lt;=$DB$3,$B47&lt;=$DB$4,$B47&lt;=$DB$5),(T46*(1+$DH$1))+(T$4))</f>
        <v>0</v>
      </c>
      <c r="U47" s="326" cm="1">
        <f t="array" ref="U47">_xlfn.IFS(AND($A47&gt;$DA$6,$B47&gt;$DB$6),0,AND($W$2=$DA$2,$A47&gt;$DA$4),IF($Y46=0,0,(U46-((U46/$Y46)*$BY46))*(1+$DH$2)),AND($W$2=$DB$2,$B47&gt;$DB$4),IF($Y46=0,0,(U46-((U46/$Y46)*$BY46))*(1+$DH$2)),AND($W$2=$DA$2,OR($A47&gt;$DA$3,$A47&gt;$DA$6)),(U46*(1+$DH$1)),AND($W$2=$DB$2,OR($B47&gt;$DB$3,$B47&gt;$DB$6)),(U46*(1+$DH$1)),AND($W$2=$DA$2,$A47&lt;=$DA$3,$A47&lt;=$DA$4,$A47&lt;=$DA$5),(U46*(1+$DH$1))+(U$4),AND($W$2=$DB$2,$B47&lt;=$DB$3,$B47&lt;=$DB$4,$B47&lt;=$DB$5),(U46*(1+$DH$1))+(U$4))</f>
        <v>0</v>
      </c>
      <c r="V47" s="326" cm="1">
        <f t="array" ref="V47">_xlfn.IFS(AND($A47&gt;$DA$6,$B47&gt;$DB$6),0,AND($W$2=$DA$2,$A47&gt;$DA$4),IF($Y46=0,0,(V46-((V46/$Y46)*$BY46))*(1+$DH$2)),AND($W$2=$DB$2,$B47&gt;$DB$4),IF($Y46=0,0,(V46-((V46/$Y46)*$BY46))*(1+$DH$2)),AND($W$2=$DA$2,OR($A47&gt;$DA$3,$A47&gt;$DA$6)),(V46*(1+$DH$1)),AND($W$2=$DB$2,OR($B47&gt;$DB$3,$B47&gt;$DB$6)),(V46*(1+$DH$1)),AND($W$2=$DA$2,$A47&lt;=$DA$3,$A47&lt;=$DA$4,$A47&lt;=$DA$5),(V46*(1+$DH$1))+(V$4),AND($W$2=$DB$2,$B47&lt;=$DB$3,$B47&lt;=$DB$4,$B47&lt;=$DB$5),(V46*(1+$DH$1))+(V$4))</f>
        <v>0</v>
      </c>
      <c r="W47" s="326" cm="1">
        <f t="array" ref="W47">_xlfn.IFS(AND($A47&gt;$DA$6,$B47&gt;$DB$6),0,AND($W$2=$DA$2,$A47&gt;$DA$4),IF($Y46=0,0,(W46-((W46/$Y46)*$BY46))*(1+$DH$2)),AND($W$2=$DB$2,$B47&gt;$DB$4),IF($Y46=0,0,(W46-((W46/$Y46)*$BY46))*(1+$DH$2)),AND($W$2=$DA$2,OR($A47&gt;$DA$3,$A47&gt;$DA$6)),(W46*(1+$DH$1)),AND($W$2=$DB$2,OR($B47&gt;$DB$3,$B47&gt;$DB$6)),(W46*(1+$DH$1)),AND($W$2=$DA$2,$A47&lt;=$DA$3,$A47&lt;=$DA$4,$A47&lt;=$DA$5),(W46*(1+$DH$1))+(W$4),AND($W$2=$DB$2,$B47&lt;=$DB$3,$B47&lt;=$DB$4,$B47&lt;=$DB$5),(W46*(1+$DH$1))+(W$4))</f>
        <v>0</v>
      </c>
      <c r="Y47" s="1">
        <f t="shared" si="47"/>
        <v>0</v>
      </c>
      <c r="Z47" s="2">
        <f t="shared" si="37"/>
        <v>0</v>
      </c>
      <c r="AA47" s="375"/>
      <c r="AC47" s="326" cm="1">
        <f t="array" ref="AC47">_xlfn.IFS(AND(A47&gt;DA$6,B47&gt;DB$6),0,AND(A47&gt;DA$4,B47&gt;DB$4),IF(AG46=0,0,(AC46-((AC46/AG46)*CA46))*(1+DH$2)),OR(A47&gt;DA$3,A47&gt;DA$6),AC46*(1+DH$1),A47&gt;DA$4,(AC46-CA46)*(1+DH$2),AND(A47&lt;=DA$3,A47&lt;=DA$4,A47&lt;=DA$6),(AC46*(1+DH$1))+(AC$4))</f>
        <v>0</v>
      </c>
      <c r="AD47" s="375"/>
      <c r="AE47" s="326" cm="1">
        <f t="array" ref="AE47">_xlfn.IFS(AND(A47&gt;DA$6,B47&gt;DB$6),0,AND(A47&gt;DA$4,B47&gt;DB$4),IF(AG46=0,0,(AE46-((AE46/AG46)*CA46))*(1+DH$2)),OR(B47&gt;DB$3,B47&gt;DB$6),AE46*(1+DH$1),B47&gt;DB$4,(AE46-CA46)*(1+DH$2),AND(B47&lt;=DB$3,B47&lt;=DB$4,B47&lt;=DB$6),(AE46*(1+DH$1))+(AE$4))</f>
        <v>0</v>
      </c>
      <c r="AF47" s="375"/>
      <c r="AG47" s="1">
        <f t="shared" si="61"/>
        <v>0</v>
      </c>
      <c r="AH47" s="2">
        <f t="shared" si="48"/>
        <v>0</v>
      </c>
      <c r="AI47" s="14">
        <f t="shared" si="38"/>
        <v>0</v>
      </c>
      <c r="AK47" s="1">
        <f t="shared" si="49"/>
        <v>0</v>
      </c>
      <c r="AL47" s="14">
        <f t="shared" si="39"/>
        <v>0</v>
      </c>
      <c r="AM47" s="14" t="str">
        <f t="shared" si="23"/>
        <v/>
      </c>
      <c r="AO47" s="15">
        <f t="shared" si="40"/>
        <v>0</v>
      </c>
      <c r="AP47" s="1">
        <f>IF(AND(B47&gt;=$DB$6,A47&gt;=$DA$6),0,AP46*(1+Lookups!C$12))</f>
        <v>0</v>
      </c>
      <c r="AQ47" s="1">
        <f>IF(AND(B47&gt;=$DB$6,A47&gt;=$DA$6),0,AQ46*(1+Lookups!C$12))</f>
        <v>0</v>
      </c>
      <c r="AS47" s="1" cm="1">
        <f t="array" ref="AS47">_xlfn.IFS(OR(AS$6="",AND(A47&gt;=DA$6,B47&gt;=DB$6),AND(A47&lt;DA$4,B47&lt;DB$4)),0,AND(A47=DA$4,DA$4&lt;=DB$4),AS$6,AND(B47=DB$4,DA$4&gt;=DB$4),AS$6,OR(A47&gt;DA$4,B47&gt;DB$4),AS46*(1+Setup!C$103))</f>
        <v>0</v>
      </c>
      <c r="AT47" s="1" cm="1">
        <f t="array" ref="AT47">_xlfn.IFS(OR(AT$6="",AND(A47&gt;=DA$6,B47&gt;=DB$6),AND(A47&lt;DA$4,B47&lt;DB$4)),0,AND(A47=DA$4,DA$4&lt;=DB$4),AT$6,AND(B47=DB$4,DA$4&gt;=DB$4),AT$6,OR(A47&gt;DA$4,B47&gt;DB$4),AT46*(1+Setup!C$103))</f>
        <v>0</v>
      </c>
      <c r="AU47" s="1" cm="1">
        <f t="array" ref="AU47">_xlfn.IFS(OR(AU$6="",AND(A47&gt;=DA$6,B47&gt;=DB$6),AND(A47&lt;DA$4,B47&lt;DB$4)),0,AND(A47=DA$4,DA$4&lt;=DB$4),AU$6,AND(B47=DB$4,DA$4&gt;=DB$4),AU$6,OR(A47&gt;DA$4,B47&gt;DB$4),AU46*(1+Setup!C$103))</f>
        <v>0</v>
      </c>
      <c r="AV47" s="1" cm="1">
        <f t="array" ref="AV47">_xlfn.IFS(OR(AV$6="",AND(A47&gt;=DA$6,B47&gt;=DB$6),AND(A47&lt;DA$4,B47&lt;DB$4)),0,AND(A47=DA$4,DA$4&lt;=DB$4),AV$6,AND(B47=DB$4,DA$4&gt;=DB$4),AV$6,OR(A47&gt;DA$4,B47&gt;DB$4),AV46*(1+Setup!C$103))</f>
        <v>0</v>
      </c>
      <c r="AW47" s="1">
        <f t="shared" si="41"/>
        <v>0</v>
      </c>
      <c r="AY47" s="1" cm="1">
        <f t="array" ref="AY47">_xlfn.IFS(OR(AND(A47&gt;=DA$6,B47&gt;=DB$6),A47&lt;DA$5),0,AND(A47=DA$5,YEAR(C47)&gt;=Lookups!D$89),VLOOKUP(A47,Lookups!B$94:F$102,3),AND(A47=DA$5,YEAR(C47)&lt;Lookups!D$89),VLOOKUP(A47,Lookups!B$94:F$102,2),AND(A47&gt;DA$5,YEAR(C47)=Lookups!D$89),(AY46*Lookups!D$90)*(1+Lookups!C$20),AND(A47&gt;DA$5,YEAR(C47)&lt;&gt;Lookups!D$89),AY46*(1+Lookups!C$20))</f>
        <v>0</v>
      </c>
      <c r="AZ47" s="1" cm="1">
        <f t="array" ref="AZ47">_xlfn.IFS(OR(ISBLANK(Setup!K$91),Setup!K$91=0,AND(A47&gt;=DA$6,B47&gt;=DB$6),B47&lt;DB$5),0,AND(B47=DB$5,YEAR(C47)&gt;=Lookups!D$89),VLOOKUP(B47,Lookups!B$94:F$102,5),AND(B47=DB$5,YEAR(C47)&lt;Lookups!D$89),VLOOKUP(B47,Lookups!B$94:F$102,4),AND(B47&gt;DB$5,YEAR(C47)=Lookups!D$89),(AZ46*Lookups!D$90)*(1+Lookups!C$20),AND(B47&gt;DB$5,YEAR(C47)&lt;&gt;Lookups!D$89),AZ46*(1+Lookups!C$20))</f>
        <v>0</v>
      </c>
      <c r="BA47" s="65">
        <f>IF(OR(AY47&gt;0,AZ47&gt;0),(AY47+AZ47)*Lookups!D$120,0)</f>
        <v>0</v>
      </c>
      <c r="BB47" s="1" cm="1">
        <f t="array" ref="BB47">_xlfn.IFS(AND(A47&lt;DA$4,B47&lt;DB$4),0,OR(_xlfn.XOR(A47&gt;DA$6,B47&gt;DB$6),_xlfn.XOR(A47&gt;=DA$4,B47&gt;=DB$4)),IF(AP47-SUM(AW47,AY47:AZ47)&gt;0,AP47-SUM(AW47,AY47:AZ47),0),AQ47-SUM(AW47,AY47:AZ47)&gt;0, AQ47-SUM(AW47,AY47:AZ47),AQ47-SUM(AW47,AY47:AZ47)&lt;=0,0)</f>
        <v>0</v>
      </c>
      <c r="BD47" s="1" cm="1">
        <f t="array" ref="BD47">_xlfn.IFS(AND(A47&gt;=DA$6,B47&gt;=DB$6),0,AND(A47&gt;=DA$6,B47&gt;=Lookups!C$35),D47/VLOOKUP(B47,Lookups!C$37:D$67,2),A47&lt;Lookups!$C$35,0,A47&gt;=Lookups!C$35,D47/VLOOKUP(A47,Lookups!C$37:D$67,2))</f>
        <v>0</v>
      </c>
      <c r="BE47" s="1" cm="1">
        <f t="array" ref="BE47">_xlfn.IFS(AND(A47&gt;=DA$6,B47&gt;=DB$6),0,AND(B47&gt;=DB$6,A47&gt;=Lookups!C$35),F47/VLOOKUP(A47,Lookups!C$37:D$67,2),B47&lt;Lookups!$C$35,0,B47&gt;=Lookups!C$35,F47/VLOOKUP(B47,Lookups!C$37:D$67,2))</f>
        <v>0</v>
      </c>
      <c r="BF47" s="1" cm="1">
        <f t="array" ref="BF47">_xlfn.IFS($BB47&lt;=0,0,AND(A47&gt;=DA$4,B47&gt;=DB$4,$BB47*I47&lt;(BD47+BE47)),0,AND(A47&gt;=DA$4,B47&gt;=DB$4,H47&gt;=(BB47*I47)-BD47-BE47),(BB47*I47)-BD47-BE47,AND(A47&gt;=DA$4,B47&gt;=DB$4,H47&lt;(BB47*I47)-BD47-BE47),H47,AND(A47&gt;=DA$4,$BB47*I47&lt;(BD47)),0,AND(A47&gt;=DA$4,H47&gt;=(BB47*I47)-BD47),(BB47*I47)-BD47,AND(A47&gt;=DA$4,H47&lt;(BB47*I47)-BD47),H47,AND(B47&gt;=DB$4,$BB47*I47&lt;(BE47)),0,AND(B47&gt;=DB$4,H47&gt;=(BB47*I47)-BE47),(BB47*I47)-BE47,AND(B47&gt;=DB$4,H47&lt;(BB47*I47)-BE47),H47)</f>
        <v>0</v>
      </c>
      <c r="BG47" s="1">
        <f t="shared" si="53"/>
        <v>0</v>
      </c>
      <c r="BH47" s="1" cm="1">
        <f t="array" ref="BH47">_xlfn.IFS(OR(D47=0,A47&lt;DA$4),0,AND(A47&gt;=DA$4,B47&gt;=DB$4,D47&lt;BD47+($BF47*(D47/$H47))+(-$BP47*(D47/$H47))),D47,AND(A47&gt;=DA$4,B47&gt;=DB$4,$BB47&gt;$BG47),BD47+($BF47*(D47/$H47))+(-$BP47*(D47/$H47)),AND(A47&gt;=DA$4,B47&gt;=DB$4,OR(A47&gt;DA$6, B47&gt;DB$6),$AP47-SUM($AW47,$AY47:$AZ47)&lt;0),BD47+($BF47*(D47/$H47))+(-$BP47*(D47/$H47))+(BP47*(D47/$H47)),AND(A47&gt;=DA$4,B47&gt;=DB$4,$AQ47-SUM($AW47,$AY47:$AZ47)&lt;0),BD47+($BF47*(D47/$H47))+(-$BP47*(D47/$H47))+(BP47*(D47/$H47)),AND(A47&gt;=DA$4,D47&lt;BD47+$BF47-$BP47),D47,AND(A47&gt;=DA$4,$AP47-SUM($AW47,$AY47:$AZ47)&lt;0),BD47+($BF47*(D47/$H47))+(-$BP47*(D47/$H47))+(BP47*(D47/$H47)),A47&gt;=DA$4,BD47+$BF47-$BP47)</f>
        <v>0</v>
      </c>
      <c r="BI47" s="1" cm="1">
        <f t="array" ref="BI47">_xlfn.IFS(OR(F47=0,B47&lt;DB$4),0,AND(A47&gt;=DA$4,B47&gt;=DB$4,F47&lt;BE47+($BF47*(F47/$H47))+(-$BP47*(F47/$H47))),F47,AND(A47&gt;=DA$4,B47&gt;=DB$4,$BB47&gt;$BG47),BE47+($BF47*(F47/$H47))+(-$BP47*(F47/$H47)),AND(A47&gt;=DA$4,B47&gt;=DB$4,OR(A47&gt;DA$6, B47&gt;DB$6),$AP47-SUM($AW47,$AY47:$AZ47)&lt;0),BE47+($BF47*(F47/$H47))+(-$BP47*(F47/$H47))+(BP47*(F47/$H47)),AND(A47&gt;=DA$4,B47&gt;=DB$4,$AQ47-SUM($AW47,$AY47:$AZ47)&lt;0),BE47+($BF47*(F47/$H47))+(-$BP47*(F47/$H47))+(BP47*(F47/$H47)),AND(B47&gt;=DB$4,F47&lt;BE47+$BF47-$BP47),F47,AND(B47&gt;=DB$4,$AP47-SUM($AW47,$AY47:$AZ47)&lt;0),BE47+($BF47*(F47/$H47))+(-$BP47*(F47/$H47))+(BP47*(F47/$H47)),B47&gt;=DB$4,BE47+$BF47-$BP47)</f>
        <v>0</v>
      </c>
      <c r="BJ47" s="64" cm="1">
        <f t="array" ref="BJ47">IF(AW47+BA47+BG47&gt;0, AW47+BA47+BG47-_xlfn.IFS(AND(A47&gt;=65,B47&gt;=65),VLOOKUP(Setup!I$4,Lookups!C$133:F$136,4),OR(A47&gt;=65,B47&gt;=65),VLOOKUP(Setup!I$4,Lookups!C$133:E$136,3),AND(A47&lt;65,B47&lt;65),VLOOKUP(Setup!I$4,Lookups!C$133:D$136,2)),0)</f>
        <v>0</v>
      </c>
      <c r="BK47" s="1" cm="1">
        <f t="array" ref="BK47">IF(BJ47&gt;0,_xlfn.IFS(Setup!I$4=Lookups!D$109,-_xlfn.IFS($BJ47&gt;=Lookups!D$157, Lookups!F$157+($BJ47-Lookups!D$157)*Lookups!G$157,$BJ47&gt;=Lookups!D$156, Lookups!F$156+($BJ47-Lookups!D$156)*Lookups!G$156,$BJ47&gt;=Lookups!D$155, Lookups!F$155+($BJ47-Lookups!D$155)*Lookups!G$155,$BJ47&gt;=Lookups!D$154, Lookups!F$154+($BJ47-Lookups!D$154)*Lookups!G$154,$BJ47&gt;=Lookups!D$153, Lookups!F$153+($BJ47-Lookups!D$153)*Lookups!G$153,$BJ47&gt;=Lookups!D$152, Lookups!F$152+($BJ47-Lookups!D$152)*Lookups!G$152,$BJ47&lt;Lookups!D$152,$BJ47*Lookups!G$151),Setup!I$4=Lookups!D$110,-_xlfn.IFS($BJ47&gt;=Lookups!D$167, Lookups!F$167+($BJ47-Lookups!D$167)*Lookups!G$167,$BJ47&gt;=Lookups!D$166, Lookups!F$166+($BJ47-Lookups!D$166)*Lookups!G$166,$BJ47&gt;=Lookups!D$165, Lookups!F$165+($BJ47-Lookups!D$165)*Lookups!G$165,$BJ47&gt;=Lookups!D$164, Lookups!F$164+($BJ47-Lookups!D$164)*Lookups!G$164,$BJ47&gt;=Lookups!D$163, Lookups!F$163+($BJ47-Lookups!D$163)*Lookups!G$163,$BJ47&gt;=Lookups!D$162, Lookups!F$162+($BJ47-Lookups!D$162)*Lookups!G$162,$BJ47&lt;Lookups!D$162,$BJ47*Lookups!G$161),Setup!I$4=Lookups!D$111,-_xlfn.IFS($BJ47&gt;=Lookups!D$177, Lookups!F$177+($BJ47-Lookups!D$177)*Lookups!G$177,$BJ47&gt;=Lookups!D$176, Lookups!F$176+($BJ47-Lookups!D$176)*Lookups!G$176,$BJ47&gt;=Lookups!D$175, Lookups!F$175+($BJ47-Lookups!D$175)*Lookups!G$175,$BJ47&gt;=Lookups!D$174, Lookups!F$174+($BJ47-Lookups!D$174)*Lookups!G$174,$BJ47&gt;=Lookups!D$173, Lookups!F$173+($BJ47-Lookups!D$173)*Lookups!G$173,$BJ47&gt;=Lookups!D$172, Lookups!F$172+($BJ47-Lookups!D$172)*Lookups!G$172,$BJ47&lt;Lookups!D$172,$BJ47*Lookups!G$171), Setup!I$4=Lookups!D$112,-_xlfn.IFS($BJ47&gt;=Lookups!D$187, Lookups!F$187+($BJ47-Lookups!D$187)*Lookups!G$187,$BJ47&gt;=Lookups!D$186, Lookups!F$186+($BJ47-Lookups!D$186)*Lookups!G$186,$BJ47&gt;=Lookups!D$185, Lookups!F$185+($BJ47-Lookups!D$185)*Lookups!G$185,$BJ47&gt;=Lookups!D$184, Lookups!F$184+($BJ47-Lookups!D$184)*Lookups!G$184,$BJ47&gt;=Lookups!D$183, Lookups!F$183+($BJ47-Lookups!D$183)*Lookups!G$183,$BJ47&gt;=Lookups!D$182, Lookups!F$182+($BJ47-Lookups!D$182)*Lookups!G$182,$BJ47&lt;Lookups!D$182,$BJ47*Lookups!G$181)),0)</f>
        <v>0</v>
      </c>
      <c r="BL47" s="18">
        <f t="shared" si="54"/>
        <v>0</v>
      </c>
      <c r="BM47" s="134">
        <f t="shared" si="55"/>
        <v>0</v>
      </c>
      <c r="BN47" s="134" cm="1">
        <f t="array" aca="1" ref="BN47" ca="1">INDIRECT(Setup!I$6&amp;"!"&amp;"A"&amp;ROW())</f>
        <v>0</v>
      </c>
      <c r="BO47" s="134">
        <f t="shared" si="56"/>
        <v>0</v>
      </c>
      <c r="BP47" s="1">
        <f t="shared" si="57"/>
        <v>0</v>
      </c>
      <c r="BQ47" s="1">
        <f t="shared" si="58"/>
        <v>0</v>
      </c>
      <c r="BS47" s="1">
        <f t="shared" si="50"/>
        <v>0</v>
      </c>
      <c r="BT47" s="1" cm="1">
        <f t="array" ref="BT47">-IF(BS47&gt;0,_xlfn.IFS((AW47+BA47+BG47+BS47)&gt;=VLOOKUP(Setup!I$4,Lookups!C$210:E$213,3),BS47*Lookups!D$203,(AW47+BA47+BG47+BS47)&gt;=VLOOKUP(Setup!I$4,Lookups!C$210:E$213,2),BS47*Lookups!D$197,(AW47+BA47+BG47+BS47)&lt;VLOOKUP(Setup!I$4,Lookups!C$210:E$213,2),0),0)</f>
        <v>0</v>
      </c>
      <c r="BU47" s="18">
        <f t="shared" si="51"/>
        <v>0</v>
      </c>
      <c r="BV47" s="1">
        <f t="shared" si="52"/>
        <v>0</v>
      </c>
      <c r="BW47" s="1" cm="1">
        <f t="array" aca="1" ref="BW47" ca="1">INDIRECT(Setup!I$6&amp;"!"&amp;"A"&amp;ROW()+100)</f>
        <v>0</v>
      </c>
      <c r="BX47" s="1">
        <f t="shared" ca="1" si="44"/>
        <v>0</v>
      </c>
      <c r="BY47" s="1">
        <f t="shared" ca="1" si="45"/>
        <v>0</v>
      </c>
      <c r="CA47" s="1">
        <f t="shared" si="59"/>
        <v>0</v>
      </c>
      <c r="CC47" s="1" cm="1">
        <f t="array" ref="CC47">_xlfn.IFS(AND(A47&lt;$DA$4,B47&lt;$DB$4),0,AND(AND(A47&gt;=$DA$4,B47&gt;=$DB$4),AND(A47&lt;=$DA$6,B47&lt;=$DB$6),AND(BH47=0,BI47=0)),SUM(AW47,AY47:AZ47,BD47:BF47,BP47,BS47,CA47)-AQ47,AND(AND(A47&gt;=$DA$4,B47&gt;=$DB$4),AND(A47&lt;=$DA$6,B47&lt;=$DB$6)),SUM(AW47,AY47:AZ47,BD47:BF47,BS47,CA47)-AQ47,AND(OR(A47&gt;=$DA$4,B47&gt;=$DB$4),AND(BH47=0,BI47=0)),SUM(AW47,AY47:AZ47,BD47:BF47,BP47,BS47,CA47)-AP47,OR(A47&gt;=$DA$4,B47&gt;=$DB$4),SUM(AW47,AY47:AZ47,BD47:BF47,BS47,CA47)-AP47)</f>
        <v>0</v>
      </c>
      <c r="CD47" s="142" t="str">
        <f t="shared" si="30"/>
        <v/>
      </c>
    </row>
    <row r="48" spans="1:82" x14ac:dyDescent="0.3">
      <c r="A48" s="354">
        <f t="shared" si="31"/>
        <v>41</v>
      </c>
      <c r="B48" s="354">
        <f t="shared" si="32"/>
        <v>41</v>
      </c>
      <c r="C48" s="359">
        <f t="shared" si="33"/>
        <v>14977</v>
      </c>
      <c r="D48" s="326" cm="1">
        <f t="array" ref="D48">_xlfn.IFS(AND(A48&gt;DA$6,B48&gt;DB$6),0,AND(A48&gt;DA$3,A48&lt;=DA$4),D47*(1+DH$1),OR(A48&gt;DA$6,A48&gt;DA$4),(D47-BH47)*(1+DH$2),A48&lt;=DA$4,(D47*(1+DH$1))+(D$4))</f>
        <v>0</v>
      </c>
      <c r="E48" s="375"/>
      <c r="F48" s="326" cm="1">
        <f t="array" ref="F48">_xlfn.IFS(AND(A48&gt;DA$6,B48&gt;DB$6),0,AND(B48&gt;DB$3,B48&lt;=DB$4),F47*(1+DH$1),OR(B48&gt;DB$6,B48&gt;DB$4),(F47-BI47)*(1+DH$2),B48&lt;=DB$4,(F47*(1+DH$1))+(F$4))</f>
        <v>0</v>
      </c>
      <c r="G48" s="375"/>
      <c r="H48" s="1">
        <f t="shared" si="60"/>
        <v>0</v>
      </c>
      <c r="I48" s="2">
        <f t="shared" si="36"/>
        <v>0</v>
      </c>
      <c r="J48" s="14">
        <f t="shared" si="35"/>
        <v>0</v>
      </c>
      <c r="L48" s="402" cm="1">
        <f t="array" ref="L48">_xlfn.IFS(AND(A48&gt;DA$6,B48&gt;DB$6),0,A48&lt;DA$6,0,A48=DA$6,L$4,AND(A48&gt;DA$6,B48&lt;=DB$4),L47*(1+DH$1),AND(A48&gt;DA$6,B48&gt;DB$4),IF(Y47=0,0,(L47-((L47/Y47)*BY47))*(1+DH$2)))</f>
        <v>0</v>
      </c>
      <c r="M48" s="402" cm="1">
        <f t="array" ref="M48">_xlfn.IFS(AND(A48&gt;DA$6,B48&gt;DB$6),0,B48&lt;DB$6,0,B48=DB$6,M$4,AND(B48&gt;DB$6,A48&lt;=DA$4),M47*(1+DH$1),AND(A48&gt;DA$4,B48&gt;DB$6),IF(Y47=0,0,(M47-((M47/Y47)*BY47))*(1+DH$2)))</f>
        <v>0</v>
      </c>
      <c r="N48" s="327"/>
      <c r="O48" s="327" cm="1">
        <f t="array" ref="O48">_xlfn.IFS(OR(ISBLANK(Setup!C$63),Setup!C$63&gt;YEAR(C48),AND(A48&gt;DA$6,B48&gt;DB$6),ISBLANK(Y47)),0,Setup!C$63=YEAR(C48),Setup!C$62,AND(OR(A48&lt;=DA$4,B48&lt;=DB$4),Setup!C$63&lt;YEAR(C48)),O47*(1+DH$1),AND(A48&gt;DA$4,B48&gt;DB$4,Setup!C$63&lt;YEAR(C48)),IF(Y47=0,0,(O47-((O47/Y47)*BY47))*(1+DH$2)))</f>
        <v>0</v>
      </c>
      <c r="P48" s="327" cm="1">
        <f t="array" ref="P48">_xlfn.IFS(OR(ISBLANK(Setup!C$67),Setup!C$67&gt;YEAR(C48),AND(A48&gt;DA$6,B48&gt;DB$6)),0,Setup!C$67=YEAR(C48),Setup!C$66,AND(OR(A48&lt;=DA$4,B48&lt;=DB$4),Setup!C$67&lt;YEAR(C48)),P47*(1+DH$1),AND(A48&gt;DA$4,B48&gt;DB$4,Setup!C$67&lt;YEAR(C48)),IF(Y47=0,0,(P47-((P47/Y47)*BY47))*(1+DH$2)))</f>
        <v>0</v>
      </c>
      <c r="Q48" s="327" cm="1">
        <f t="array" ref="Q48">_xlfn.IFS(OR(ISBLANK(Setup!C$71),Setup!C$71&gt;YEAR(C48),AND(A48&gt;DA$6,B48&gt;DB$6)),0,Setup!C$71=YEAR(C48),Setup!C$70,AND(OR(A48&lt;=DA$4,B48&lt;=DB$4),Setup!C$71&lt;YEAR(C48)),Q47*(1+DH$1),AND(A48&gt;DA$4,B48&gt;DB$4,Setup!C$71&lt;YEAR(C48)),IF(Y47=0,0,(Q47-((Q47/Y47)*BY47))*(1+DH$2)))</f>
        <v>0</v>
      </c>
      <c r="R48" s="327" cm="1">
        <f t="array" ref="R48">_xlfn.IFS(OR(ISBLANK(Setup!C$75),Setup!C$75&gt;YEAR(C48),AND(A48&gt;DA$6,B48&gt;DB$6)),0,Setup!C$75=YEAR(C48),Setup!C$74,AND(OR(A48&lt;=DA$4,B48&lt;=DB$4),Setup!C$75&lt;YEAR(C48)),R47*(1+DH$1),AND(A48&gt;DA$4,B48&gt;DB$4,Setup!C$75&lt;YEAR(C48)),IF(Y47=0,0,(R47-((R47/Y47)*BY47))*(1+DH$2)))</f>
        <v>0</v>
      </c>
      <c r="S48" s="327"/>
      <c r="T48" s="326" cm="1">
        <f t="array" ref="T48">_xlfn.IFS(AND($A48&gt;$DA$6,$B48&gt;$DB$6),0,AND($W$2=$DA$2,$A48&gt;$DA$4),IF($Y47=0,0,(T47-((T47/$Y47)*$BY47))*(1+$DH$2)),AND($W$2=$DB$2,$B48&gt;$DB$4),IF($Y47=0,0,(T47-((T47/$Y47)*$BY47))*(1+$DH$2)),AND($W$2=$DA$2,OR($A48&gt;$DA$3,$A48&gt;$DA$6)),(T47*(1+$DH$1)),AND($W$2=$DB$2,OR($B48&gt;$DB$3,$B48&gt;$DB$6)),(T47*(1+$DH$1)),AND($W$2=$DA$2,$A48&lt;=$DA$3,$A48&lt;=$DA$4,$A48&lt;=$DA$5),(T47*(1+$DH$1))+(T$4),AND($W$2=$DB$2,$B48&lt;=$DB$3,$B48&lt;=$DB$4,$B48&lt;=$DB$5),(T47*(1+$DH$1))+(T$4))</f>
        <v>0</v>
      </c>
      <c r="U48" s="326" cm="1">
        <f t="array" ref="U48">_xlfn.IFS(AND($A48&gt;$DA$6,$B48&gt;$DB$6),0,AND($W$2=$DA$2,$A48&gt;$DA$4),IF($Y47=0,0,(U47-((U47/$Y47)*$BY47))*(1+$DH$2)),AND($W$2=$DB$2,$B48&gt;$DB$4),IF($Y47=0,0,(U47-((U47/$Y47)*$BY47))*(1+$DH$2)),AND($W$2=$DA$2,OR($A48&gt;$DA$3,$A48&gt;$DA$6)),(U47*(1+$DH$1)),AND($W$2=$DB$2,OR($B48&gt;$DB$3,$B48&gt;$DB$6)),(U47*(1+$DH$1)),AND($W$2=$DA$2,$A48&lt;=$DA$3,$A48&lt;=$DA$4,$A48&lt;=$DA$5),(U47*(1+$DH$1))+(U$4),AND($W$2=$DB$2,$B48&lt;=$DB$3,$B48&lt;=$DB$4,$B48&lt;=$DB$5),(U47*(1+$DH$1))+(U$4))</f>
        <v>0</v>
      </c>
      <c r="V48" s="326" cm="1">
        <f t="array" ref="V48">_xlfn.IFS(AND($A48&gt;$DA$6,$B48&gt;$DB$6),0,AND($W$2=$DA$2,$A48&gt;$DA$4),IF($Y47=0,0,(V47-((V47/$Y47)*$BY47))*(1+$DH$2)),AND($W$2=$DB$2,$B48&gt;$DB$4),IF($Y47=0,0,(V47-((V47/$Y47)*$BY47))*(1+$DH$2)),AND($W$2=$DA$2,OR($A48&gt;$DA$3,$A48&gt;$DA$6)),(V47*(1+$DH$1)),AND($W$2=$DB$2,OR($B48&gt;$DB$3,$B48&gt;$DB$6)),(V47*(1+$DH$1)),AND($W$2=$DA$2,$A48&lt;=$DA$3,$A48&lt;=$DA$4,$A48&lt;=$DA$5),(V47*(1+$DH$1))+(V$4),AND($W$2=$DB$2,$B48&lt;=$DB$3,$B48&lt;=$DB$4,$B48&lt;=$DB$5),(V47*(1+$DH$1))+(V$4))</f>
        <v>0</v>
      </c>
      <c r="W48" s="326" cm="1">
        <f t="array" ref="W48">_xlfn.IFS(AND($A48&gt;$DA$6,$B48&gt;$DB$6),0,AND($W$2=$DA$2,$A48&gt;$DA$4),IF($Y47=0,0,(W47-((W47/$Y47)*$BY47))*(1+$DH$2)),AND($W$2=$DB$2,$B48&gt;$DB$4),IF($Y47=0,0,(W47-((W47/$Y47)*$BY47))*(1+$DH$2)),AND($W$2=$DA$2,OR($A48&gt;$DA$3,$A48&gt;$DA$6)),(W47*(1+$DH$1)),AND($W$2=$DB$2,OR($B48&gt;$DB$3,$B48&gt;$DB$6)),(W47*(1+$DH$1)),AND($W$2=$DA$2,$A48&lt;=$DA$3,$A48&lt;=$DA$4,$A48&lt;=$DA$5),(W47*(1+$DH$1))+(W$4),AND($W$2=$DB$2,$B48&lt;=$DB$3,$B48&lt;=$DB$4,$B48&lt;=$DB$5),(W47*(1+$DH$1))+(W$4))</f>
        <v>0</v>
      </c>
      <c r="Y48" s="1">
        <f t="shared" si="47"/>
        <v>0</v>
      </c>
      <c r="Z48" s="2">
        <f t="shared" si="37"/>
        <v>0</v>
      </c>
      <c r="AA48" s="375"/>
      <c r="AC48" s="326" cm="1">
        <f t="array" ref="AC48">_xlfn.IFS(AND(A48&gt;DA$6,B48&gt;DB$6),0,AND(A48&gt;DA$4,B48&gt;DB$4),IF(AG47=0,0,(AC47-((AC47/AG47)*CA47))*(1+DH$2)),OR(A48&gt;DA$3,A48&gt;DA$6),AC47*(1+DH$1),A48&gt;DA$4,(AC47-CA47)*(1+DH$2),AND(A48&lt;=DA$3,A48&lt;=DA$4,A48&lt;=DA$6),(AC47*(1+DH$1))+(AC$4))</f>
        <v>0</v>
      </c>
      <c r="AD48" s="375"/>
      <c r="AE48" s="326" cm="1">
        <f t="array" ref="AE48">_xlfn.IFS(AND(A48&gt;DA$6,B48&gt;DB$6),0,AND(A48&gt;DA$4,B48&gt;DB$4),IF(AG47=0,0,(AE47-((AE47/AG47)*CA47))*(1+DH$2)),OR(B48&gt;DB$3,B48&gt;DB$6),AE47*(1+DH$1),B48&gt;DB$4,(AE47-CA47)*(1+DH$2),AND(B48&lt;=DB$3,B48&lt;=DB$4,B48&lt;=DB$6),(AE47*(1+DH$1))+(AE$4))</f>
        <v>0</v>
      </c>
      <c r="AF48" s="375"/>
      <c r="AG48" s="1">
        <f t="shared" si="61"/>
        <v>0</v>
      </c>
      <c r="AH48" s="2">
        <f t="shared" si="48"/>
        <v>0</v>
      </c>
      <c r="AI48" s="14">
        <f t="shared" si="38"/>
        <v>0</v>
      </c>
      <c r="AK48" s="1">
        <f t="shared" si="49"/>
        <v>0</v>
      </c>
      <c r="AL48" s="14">
        <f t="shared" si="39"/>
        <v>0</v>
      </c>
      <c r="AM48" s="14" t="str">
        <f t="shared" si="23"/>
        <v/>
      </c>
      <c r="AO48" s="15">
        <f t="shared" si="40"/>
        <v>0</v>
      </c>
      <c r="AP48" s="1">
        <f>IF(AND(B48&gt;=$DB$6,A48&gt;=$DA$6),0,AP47*(1+Lookups!C$12))</f>
        <v>0</v>
      </c>
      <c r="AQ48" s="1">
        <f>IF(AND(B48&gt;=$DB$6,A48&gt;=$DA$6),0,AQ47*(1+Lookups!C$12))</f>
        <v>0</v>
      </c>
      <c r="AS48" s="1" cm="1">
        <f t="array" ref="AS48">_xlfn.IFS(OR(AS$6="",AND(A48&gt;=DA$6,B48&gt;=DB$6),AND(A48&lt;DA$4,B48&lt;DB$4)),0,AND(A48=DA$4,DA$4&lt;=DB$4),AS$6,AND(B48=DB$4,DA$4&gt;=DB$4),AS$6,OR(A48&gt;DA$4,B48&gt;DB$4),AS47*(1+Setup!C$103))</f>
        <v>0</v>
      </c>
      <c r="AT48" s="1" cm="1">
        <f t="array" ref="AT48">_xlfn.IFS(OR(AT$6="",AND(A48&gt;=DA$6,B48&gt;=DB$6),AND(A48&lt;DA$4,B48&lt;DB$4)),0,AND(A48=DA$4,DA$4&lt;=DB$4),AT$6,AND(B48=DB$4,DA$4&gt;=DB$4),AT$6,OR(A48&gt;DA$4,B48&gt;DB$4),AT47*(1+Setup!C$103))</f>
        <v>0</v>
      </c>
      <c r="AU48" s="1" cm="1">
        <f t="array" ref="AU48">_xlfn.IFS(OR(AU$6="",AND(A48&gt;=DA$6,B48&gt;=DB$6),AND(A48&lt;DA$4,B48&lt;DB$4)),0,AND(A48=DA$4,DA$4&lt;=DB$4),AU$6,AND(B48=DB$4,DA$4&gt;=DB$4),AU$6,OR(A48&gt;DA$4,B48&gt;DB$4),AU47*(1+Setup!C$103))</f>
        <v>0</v>
      </c>
      <c r="AV48" s="1" cm="1">
        <f t="array" ref="AV48">_xlfn.IFS(OR(AV$6="",AND(A48&gt;=DA$6,B48&gt;=DB$6),AND(A48&lt;DA$4,B48&lt;DB$4)),0,AND(A48=DA$4,DA$4&lt;=DB$4),AV$6,AND(B48=DB$4,DA$4&gt;=DB$4),AV$6,OR(A48&gt;DA$4,B48&gt;DB$4),AV47*(1+Setup!C$103))</f>
        <v>0</v>
      </c>
      <c r="AW48" s="1">
        <f t="shared" si="41"/>
        <v>0</v>
      </c>
      <c r="AY48" s="1" cm="1">
        <f t="array" ref="AY48">_xlfn.IFS(OR(AND(A48&gt;=DA$6,B48&gt;=DB$6),A48&lt;DA$5),0,AND(A48=DA$5,YEAR(C48)&gt;=Lookups!D$89),VLOOKUP(A48,Lookups!B$94:F$102,3),AND(A48=DA$5,YEAR(C48)&lt;Lookups!D$89),VLOOKUP(A48,Lookups!B$94:F$102,2),AND(A48&gt;DA$5,YEAR(C48)=Lookups!D$89),(AY47*Lookups!D$90)*(1+Lookups!C$20),AND(A48&gt;DA$5,YEAR(C48)&lt;&gt;Lookups!D$89),AY47*(1+Lookups!C$20))</f>
        <v>0</v>
      </c>
      <c r="AZ48" s="1" cm="1">
        <f t="array" ref="AZ48">_xlfn.IFS(OR(ISBLANK(Setup!K$91),Setup!K$91=0,AND(A48&gt;=DA$6,B48&gt;=DB$6),B48&lt;DB$5),0,AND(B48=DB$5,YEAR(C48)&gt;=Lookups!D$89),VLOOKUP(B48,Lookups!B$94:F$102,5),AND(B48=DB$5,YEAR(C48)&lt;Lookups!D$89),VLOOKUP(B48,Lookups!B$94:F$102,4),AND(B48&gt;DB$5,YEAR(C48)=Lookups!D$89),(AZ47*Lookups!D$90)*(1+Lookups!C$20),AND(B48&gt;DB$5,YEAR(C48)&lt;&gt;Lookups!D$89),AZ47*(1+Lookups!C$20))</f>
        <v>0</v>
      </c>
      <c r="BA48" s="65">
        <f>IF(OR(AY48&gt;0,AZ48&gt;0),(AY48+AZ48)*Lookups!D$120,0)</f>
        <v>0</v>
      </c>
      <c r="BB48" s="1" cm="1">
        <f t="array" ref="BB48">_xlfn.IFS(AND(A48&lt;DA$4,B48&lt;DB$4),0,OR(_xlfn.XOR(A48&gt;DA$6,B48&gt;DB$6),_xlfn.XOR(A48&gt;=DA$4,B48&gt;=DB$4)),IF(AP48-SUM(AW48,AY48:AZ48)&gt;0,AP48-SUM(AW48,AY48:AZ48),0),AQ48-SUM(AW48,AY48:AZ48)&gt;0, AQ48-SUM(AW48,AY48:AZ48),AQ48-SUM(AW48,AY48:AZ48)&lt;=0,0)</f>
        <v>0</v>
      </c>
      <c r="BD48" s="1" cm="1">
        <f t="array" ref="BD48">_xlfn.IFS(AND(A48&gt;=DA$6,B48&gt;=DB$6),0,AND(A48&gt;=DA$6,B48&gt;=Lookups!C$35),D48/VLOOKUP(B48,Lookups!C$37:D$67,2),A48&lt;Lookups!$C$35,0,A48&gt;=Lookups!C$35,D48/VLOOKUP(A48,Lookups!C$37:D$67,2))</f>
        <v>0</v>
      </c>
      <c r="BE48" s="1" cm="1">
        <f t="array" ref="BE48">_xlfn.IFS(AND(A48&gt;=DA$6,B48&gt;=DB$6),0,AND(B48&gt;=DB$6,A48&gt;=Lookups!C$35),F48/VLOOKUP(A48,Lookups!C$37:D$67,2),B48&lt;Lookups!$C$35,0,B48&gt;=Lookups!C$35,F48/VLOOKUP(B48,Lookups!C$37:D$67,2))</f>
        <v>0</v>
      </c>
      <c r="BF48" s="1" cm="1">
        <f t="array" ref="BF48">_xlfn.IFS($BB48&lt;=0,0,AND(A48&gt;=DA$4,B48&gt;=DB$4,$BB48*I48&lt;(BD48+BE48)),0,AND(A48&gt;=DA$4,B48&gt;=DB$4,H48&gt;=(BB48*I48)-BD48-BE48),(BB48*I48)-BD48-BE48,AND(A48&gt;=DA$4,B48&gt;=DB$4,H48&lt;(BB48*I48)-BD48-BE48),H48,AND(A48&gt;=DA$4,$BB48*I48&lt;(BD48)),0,AND(A48&gt;=DA$4,H48&gt;=(BB48*I48)-BD48),(BB48*I48)-BD48,AND(A48&gt;=DA$4,H48&lt;(BB48*I48)-BD48),H48,AND(B48&gt;=DB$4,$BB48*I48&lt;(BE48)),0,AND(B48&gt;=DB$4,H48&gt;=(BB48*I48)-BE48),(BB48*I48)-BE48,AND(B48&gt;=DB$4,H48&lt;(BB48*I48)-BE48),H48)</f>
        <v>0</v>
      </c>
      <c r="BG48" s="1">
        <f t="shared" si="53"/>
        <v>0</v>
      </c>
      <c r="BH48" s="1" cm="1">
        <f t="array" ref="BH48">_xlfn.IFS(OR(D48=0,A48&lt;DA$4),0,AND(A48&gt;=DA$4,B48&gt;=DB$4,D48&lt;BD48+($BF48*(D48/$H48))+(-$BP48*(D48/$H48))),D48,AND(A48&gt;=DA$4,B48&gt;=DB$4,$BB48&gt;$BG48),BD48+($BF48*(D48/$H48))+(-$BP48*(D48/$H48)),AND(A48&gt;=DA$4,B48&gt;=DB$4,OR(A48&gt;DA$6, B48&gt;DB$6),$AP48-SUM($AW48,$AY48:$AZ48)&lt;0),BD48+($BF48*(D48/$H48))+(-$BP48*(D48/$H48))+(BP48*(D48/$H48)),AND(A48&gt;=DA$4,B48&gt;=DB$4,$AQ48-SUM($AW48,$AY48:$AZ48)&lt;0),BD48+($BF48*(D48/$H48))+(-$BP48*(D48/$H48))+(BP48*(D48/$H48)),AND(A48&gt;=DA$4,D48&lt;BD48+$BF48-$BP48),D48,AND(A48&gt;=DA$4,$AP48-SUM($AW48,$AY48:$AZ48)&lt;0),BD48+($BF48*(D48/$H48))+(-$BP48*(D48/$H48))+(BP48*(D48/$H48)),A48&gt;=DA$4,BD48+$BF48-$BP48)</f>
        <v>0</v>
      </c>
      <c r="BI48" s="1" cm="1">
        <f t="array" ref="BI48">_xlfn.IFS(OR(F48=0,B48&lt;DB$4),0,AND(A48&gt;=DA$4,B48&gt;=DB$4,F48&lt;BE48+($BF48*(F48/$H48))+(-$BP48*(F48/$H48))),F48,AND(A48&gt;=DA$4,B48&gt;=DB$4,$BB48&gt;$BG48),BE48+($BF48*(F48/$H48))+(-$BP48*(F48/$H48)),AND(A48&gt;=DA$4,B48&gt;=DB$4,OR(A48&gt;DA$6, B48&gt;DB$6),$AP48-SUM($AW48,$AY48:$AZ48)&lt;0),BE48+($BF48*(F48/$H48))+(-$BP48*(F48/$H48))+(BP48*(F48/$H48)),AND(A48&gt;=DA$4,B48&gt;=DB$4,$AQ48-SUM($AW48,$AY48:$AZ48)&lt;0),BE48+($BF48*(F48/$H48))+(-$BP48*(F48/$H48))+(BP48*(F48/$H48)),AND(B48&gt;=DB$4,F48&lt;BE48+$BF48-$BP48),F48,AND(B48&gt;=DB$4,$AP48-SUM($AW48,$AY48:$AZ48)&lt;0),BE48+($BF48*(F48/$H48))+(-$BP48*(F48/$H48))+(BP48*(F48/$H48)),B48&gt;=DB$4,BE48+$BF48-$BP48)</f>
        <v>0</v>
      </c>
      <c r="BJ48" s="64" cm="1">
        <f t="array" ref="BJ48">IF(AW48+BA48+BG48&gt;0, AW48+BA48+BG48-_xlfn.IFS(AND(A48&gt;=65,B48&gt;=65),VLOOKUP(Setup!I$4,Lookups!C$133:F$136,4),OR(A48&gt;=65,B48&gt;=65),VLOOKUP(Setup!I$4,Lookups!C$133:E$136,3),AND(A48&lt;65,B48&lt;65),VLOOKUP(Setup!I$4,Lookups!C$133:D$136,2)),0)</f>
        <v>0</v>
      </c>
      <c r="BK48" s="1" cm="1">
        <f t="array" ref="BK48">IF(BJ48&gt;0,_xlfn.IFS(Setup!I$4=Lookups!D$109,-_xlfn.IFS($BJ48&gt;=Lookups!D$157, Lookups!F$157+($BJ48-Lookups!D$157)*Lookups!G$157,$BJ48&gt;=Lookups!D$156, Lookups!F$156+($BJ48-Lookups!D$156)*Lookups!G$156,$BJ48&gt;=Lookups!D$155, Lookups!F$155+($BJ48-Lookups!D$155)*Lookups!G$155,$BJ48&gt;=Lookups!D$154, Lookups!F$154+($BJ48-Lookups!D$154)*Lookups!G$154,$BJ48&gt;=Lookups!D$153, Lookups!F$153+($BJ48-Lookups!D$153)*Lookups!G$153,$BJ48&gt;=Lookups!D$152, Lookups!F$152+($BJ48-Lookups!D$152)*Lookups!G$152,$BJ48&lt;Lookups!D$152,$BJ48*Lookups!G$151),Setup!I$4=Lookups!D$110,-_xlfn.IFS($BJ48&gt;=Lookups!D$167, Lookups!F$167+($BJ48-Lookups!D$167)*Lookups!G$167,$BJ48&gt;=Lookups!D$166, Lookups!F$166+($BJ48-Lookups!D$166)*Lookups!G$166,$BJ48&gt;=Lookups!D$165, Lookups!F$165+($BJ48-Lookups!D$165)*Lookups!G$165,$BJ48&gt;=Lookups!D$164, Lookups!F$164+($BJ48-Lookups!D$164)*Lookups!G$164,$BJ48&gt;=Lookups!D$163, Lookups!F$163+($BJ48-Lookups!D$163)*Lookups!G$163,$BJ48&gt;=Lookups!D$162, Lookups!F$162+($BJ48-Lookups!D$162)*Lookups!G$162,$BJ48&lt;Lookups!D$162,$BJ48*Lookups!G$161),Setup!I$4=Lookups!D$111,-_xlfn.IFS($BJ48&gt;=Lookups!D$177, Lookups!F$177+($BJ48-Lookups!D$177)*Lookups!G$177,$BJ48&gt;=Lookups!D$176, Lookups!F$176+($BJ48-Lookups!D$176)*Lookups!G$176,$BJ48&gt;=Lookups!D$175, Lookups!F$175+($BJ48-Lookups!D$175)*Lookups!G$175,$BJ48&gt;=Lookups!D$174, Lookups!F$174+($BJ48-Lookups!D$174)*Lookups!G$174,$BJ48&gt;=Lookups!D$173, Lookups!F$173+($BJ48-Lookups!D$173)*Lookups!G$173,$BJ48&gt;=Lookups!D$172, Lookups!F$172+($BJ48-Lookups!D$172)*Lookups!G$172,$BJ48&lt;Lookups!D$172,$BJ48*Lookups!G$171), Setup!I$4=Lookups!D$112,-_xlfn.IFS($BJ48&gt;=Lookups!D$187, Lookups!F$187+($BJ48-Lookups!D$187)*Lookups!G$187,$BJ48&gt;=Lookups!D$186, Lookups!F$186+($BJ48-Lookups!D$186)*Lookups!G$186,$BJ48&gt;=Lookups!D$185, Lookups!F$185+($BJ48-Lookups!D$185)*Lookups!G$185,$BJ48&gt;=Lookups!D$184, Lookups!F$184+($BJ48-Lookups!D$184)*Lookups!G$184,$BJ48&gt;=Lookups!D$183, Lookups!F$183+($BJ48-Lookups!D$183)*Lookups!G$183,$BJ48&gt;=Lookups!D$182, Lookups!F$182+($BJ48-Lookups!D$182)*Lookups!G$182,$BJ48&lt;Lookups!D$182,$BJ48*Lookups!G$181)),0)</f>
        <v>0</v>
      </c>
      <c r="BL48" s="18">
        <f t="shared" si="54"/>
        <v>0</v>
      </c>
      <c r="BM48" s="134">
        <f t="shared" si="55"/>
        <v>0</v>
      </c>
      <c r="BN48" s="134" cm="1">
        <f t="array" aca="1" ref="BN48" ca="1">INDIRECT(Setup!I$6&amp;"!"&amp;"A"&amp;ROW())</f>
        <v>0</v>
      </c>
      <c r="BO48" s="134">
        <f t="shared" si="56"/>
        <v>0</v>
      </c>
      <c r="BP48" s="1">
        <f t="shared" si="57"/>
        <v>0</v>
      </c>
      <c r="BQ48" s="1">
        <f>IF(AND(BH48=0,BI48=0),BB48-BP48,BB48-BG48)</f>
        <v>0</v>
      </c>
      <c r="BS48" s="1">
        <f t="shared" si="50"/>
        <v>0</v>
      </c>
      <c r="BT48" s="1" cm="1">
        <f t="array" ref="BT48">-IF(BS48&gt;0,_xlfn.IFS((AW48+BA48+BG48+BS48)&gt;=VLOOKUP(Setup!I$4,Lookups!C$210:E$213,3),BS48*Lookups!D$203,(AW48+BA48+BG48+BS48)&gt;=VLOOKUP(Setup!I$4,Lookups!C$210:E$213,2),BS48*Lookups!D$197,(AW48+BA48+BG48+BS48)&lt;VLOOKUP(Setup!I$4,Lookups!C$210:E$213,2),0),0)</f>
        <v>0</v>
      </c>
      <c r="BU48" s="18">
        <f t="shared" si="51"/>
        <v>0</v>
      </c>
      <c r="BV48" s="1">
        <f t="shared" si="52"/>
        <v>0</v>
      </c>
      <c r="BW48" s="1" cm="1">
        <f t="array" aca="1" ref="BW48" ca="1">INDIRECT(Setup!I$6&amp;"!"&amp;"A"&amp;ROW()+100)</f>
        <v>0</v>
      </c>
      <c r="BX48" s="1">
        <f t="shared" ca="1" si="44"/>
        <v>0</v>
      </c>
      <c r="BY48" s="1">
        <f t="shared" ca="1" si="45"/>
        <v>0</v>
      </c>
      <c r="CA48" s="1">
        <f t="shared" si="59"/>
        <v>0</v>
      </c>
      <c r="CC48" s="1" cm="1">
        <f t="array" ref="CC48">_xlfn.IFS(AND(A48&lt;$DA$4,B48&lt;$DB$4),0,AND(AND(A48&gt;=$DA$4,B48&gt;=$DB$4),AND(A48&lt;=$DA$6,B48&lt;=$DB$6),AND(BH48=0,BI48=0)),SUM(AW48,AY48:AZ48,BD48:BF48,BP48,BS48,CA48)-AQ48,AND(AND(A48&gt;=$DA$4,B48&gt;=$DB$4),AND(A48&lt;=$DA$6,B48&lt;=$DB$6)),SUM(AW48,AY48:AZ48,BD48:BF48,BS48,CA48)-AQ48,AND(OR(A48&gt;=$DA$4,B48&gt;=$DB$4),AND(BH48=0,BI48=0)),SUM(AW48,AY48:AZ48,BD48:BF48,BP48,BS48,CA48)-AP48,OR(A48&gt;=$DA$4,B48&gt;=$DB$4),SUM(AW48,AY48:AZ48,BD48:BF48,BS48,CA48)-AP48)</f>
        <v>0</v>
      </c>
      <c r="CD48" s="142" t="str">
        <f t="shared" si="30"/>
        <v/>
      </c>
    </row>
    <row r="49" spans="1:82" x14ac:dyDescent="0.3">
      <c r="A49" s="354">
        <f t="shared" si="31"/>
        <v>42</v>
      </c>
      <c r="B49" s="354">
        <f t="shared" si="32"/>
        <v>42</v>
      </c>
      <c r="C49" s="359">
        <f t="shared" si="33"/>
        <v>15342</v>
      </c>
      <c r="D49" s="326" cm="1">
        <f t="array" ref="D49">_xlfn.IFS(AND(A49&gt;DA$6,B49&gt;DB$6),0,AND(A49&gt;DA$3,A49&lt;=DA$4),D48*(1+DH$1),OR(A49&gt;DA$6,A49&gt;DA$4),(D48-BH48)*(1+DH$2),A49&lt;=DA$4,(D48*(1+DH$1))+(D$4))</f>
        <v>0</v>
      </c>
      <c r="E49" s="375"/>
      <c r="F49" s="326" cm="1">
        <f t="array" ref="F49">_xlfn.IFS(AND(A49&gt;DA$6,B49&gt;DB$6),0,AND(B49&gt;DB$3,B49&lt;=DB$4),F48*(1+DH$1),OR(B49&gt;DB$6,B49&gt;DB$4),(F48-BI48)*(1+DH$2),B49&lt;=DB$4,(F48*(1+DH$1))+(F$4))</f>
        <v>0</v>
      </c>
      <c r="G49" s="375"/>
      <c r="H49" s="1">
        <f t="shared" si="60"/>
        <v>0</v>
      </c>
      <c r="I49" s="2">
        <f t="shared" si="36"/>
        <v>0</v>
      </c>
      <c r="J49" s="14">
        <f t="shared" si="35"/>
        <v>0</v>
      </c>
      <c r="L49" s="402" cm="1">
        <f t="array" ref="L49">_xlfn.IFS(AND(A49&gt;DA$6,B49&gt;DB$6),0,A49&lt;DA$6,0,A49=DA$6,L$4,AND(A49&gt;DA$6,B49&lt;=DB$4),L48*(1+DH$1),AND(A49&gt;DA$6,B49&gt;DB$4),IF(Y48=0,0,(L48-((L48/Y48)*BY48))*(1+DH$2)))</f>
        <v>0</v>
      </c>
      <c r="M49" s="402" cm="1">
        <f t="array" ref="M49">_xlfn.IFS(AND(A49&gt;DA$6,B49&gt;DB$6),0,B49&lt;DB$6,0,B49=DB$6,M$4,AND(B49&gt;DB$6,A49&lt;=DA$4),M48*(1+DH$1),AND(A49&gt;DA$4,B49&gt;DB$6),IF(Y48=0,0,(M48-((M48/Y48)*BY48))*(1+DH$2)))</f>
        <v>0</v>
      </c>
      <c r="N49" s="327"/>
      <c r="O49" s="327" cm="1">
        <f t="array" ref="O49">_xlfn.IFS(OR(ISBLANK(Setup!C$63),Setup!C$63&gt;YEAR(C49),AND(A49&gt;DA$6,B49&gt;DB$6),ISBLANK(Y48)),0,Setup!C$63=YEAR(C49),Setup!C$62,AND(OR(A49&lt;=DA$4,B49&lt;=DB$4),Setup!C$63&lt;YEAR(C49)),O48*(1+DH$1),AND(A49&gt;DA$4,B49&gt;DB$4,Setup!C$63&lt;YEAR(C49)),IF(Y48=0,0,(O48-((O48/Y48)*BY48))*(1+DH$2)))</f>
        <v>0</v>
      </c>
      <c r="P49" s="327" cm="1">
        <f t="array" ref="P49">_xlfn.IFS(OR(ISBLANK(Setup!C$67),Setup!C$67&gt;YEAR(C49),AND(A49&gt;DA$6,B49&gt;DB$6)),0,Setup!C$67=YEAR(C49),Setup!C$66,AND(OR(A49&lt;=DA$4,B49&lt;=DB$4),Setup!C$67&lt;YEAR(C49)),P48*(1+DH$1),AND(A49&gt;DA$4,B49&gt;DB$4,Setup!C$67&lt;YEAR(C49)),IF(Y48=0,0,(P48-((P48/Y48)*BY48))*(1+DH$2)))</f>
        <v>0</v>
      </c>
      <c r="Q49" s="327" cm="1">
        <f t="array" ref="Q49">_xlfn.IFS(OR(ISBLANK(Setup!C$71),Setup!C$71&gt;YEAR(C49),AND(A49&gt;DA$6,B49&gt;DB$6)),0,Setup!C$71=YEAR(C49),Setup!C$70,AND(OR(A49&lt;=DA$4,B49&lt;=DB$4),Setup!C$71&lt;YEAR(C49)),Q48*(1+DH$1),AND(A49&gt;DA$4,B49&gt;DB$4,Setup!C$71&lt;YEAR(C49)),IF(Y48=0,0,(Q48-((Q48/Y48)*BY48))*(1+DH$2)))</f>
        <v>0</v>
      </c>
      <c r="R49" s="327" cm="1">
        <f t="array" ref="R49">_xlfn.IFS(OR(ISBLANK(Setup!C$75),Setup!C$75&gt;YEAR(C49),AND(A49&gt;DA$6,B49&gt;DB$6)),0,Setup!C$75=YEAR(C49),Setup!C$74,AND(OR(A49&lt;=DA$4,B49&lt;=DB$4),Setup!C$75&lt;YEAR(C49)),R48*(1+DH$1),AND(A49&gt;DA$4,B49&gt;DB$4,Setup!C$75&lt;YEAR(C49)),IF(Y48=0,0,(R48-((R48/Y48)*BY48))*(1+DH$2)))</f>
        <v>0</v>
      </c>
      <c r="S49" s="327"/>
      <c r="T49" s="326" cm="1">
        <f t="array" ref="T49">_xlfn.IFS(AND($A49&gt;$DA$6,$B49&gt;$DB$6),0,AND($W$2=$DA$2,$A49&gt;$DA$4),IF($Y48=0,0,(T48-((T48/$Y48)*$BY48))*(1+$DH$2)),AND($W$2=$DB$2,$B49&gt;$DB$4),IF($Y48=0,0,(T48-((T48/$Y48)*$BY48))*(1+$DH$2)),AND($W$2=$DA$2,OR($A49&gt;$DA$3,$A49&gt;$DA$6)),(T48*(1+$DH$1)),AND($W$2=$DB$2,OR($B49&gt;$DB$3,$B49&gt;$DB$6)),(T48*(1+$DH$1)),AND($W$2=$DA$2,$A49&lt;=$DA$3,$A49&lt;=$DA$4,$A49&lt;=$DA$5),(T48*(1+$DH$1))+(T$4),AND($W$2=$DB$2,$B49&lt;=$DB$3,$B49&lt;=$DB$4,$B49&lt;=$DB$5),(T48*(1+$DH$1))+(T$4))</f>
        <v>0</v>
      </c>
      <c r="U49" s="326" cm="1">
        <f t="array" ref="U49">_xlfn.IFS(AND($A49&gt;$DA$6,$B49&gt;$DB$6),0,AND($W$2=$DA$2,$A49&gt;$DA$4),IF($Y48=0,0,(U48-((U48/$Y48)*$BY48))*(1+$DH$2)),AND($W$2=$DB$2,$B49&gt;$DB$4),IF($Y48=0,0,(U48-((U48/$Y48)*$BY48))*(1+$DH$2)),AND($W$2=$DA$2,OR($A49&gt;$DA$3,$A49&gt;$DA$6)),(U48*(1+$DH$1)),AND($W$2=$DB$2,OR($B49&gt;$DB$3,$B49&gt;$DB$6)),(U48*(1+$DH$1)),AND($W$2=$DA$2,$A49&lt;=$DA$3,$A49&lt;=$DA$4,$A49&lt;=$DA$5),(U48*(1+$DH$1))+(U$4),AND($W$2=$DB$2,$B49&lt;=$DB$3,$B49&lt;=$DB$4,$B49&lt;=$DB$5),(U48*(1+$DH$1))+(U$4))</f>
        <v>0</v>
      </c>
      <c r="V49" s="326" cm="1">
        <f t="array" ref="V49">_xlfn.IFS(AND($A49&gt;$DA$6,$B49&gt;$DB$6),0,AND($W$2=$DA$2,$A49&gt;$DA$4),IF($Y48=0,0,(V48-((V48/$Y48)*$BY48))*(1+$DH$2)),AND($W$2=$DB$2,$B49&gt;$DB$4),IF($Y48=0,0,(V48-((V48/$Y48)*$BY48))*(1+$DH$2)),AND($W$2=$DA$2,OR($A49&gt;$DA$3,$A49&gt;$DA$6)),(V48*(1+$DH$1)),AND($W$2=$DB$2,OR($B49&gt;$DB$3,$B49&gt;$DB$6)),(V48*(1+$DH$1)),AND($W$2=$DA$2,$A49&lt;=$DA$3,$A49&lt;=$DA$4,$A49&lt;=$DA$5),(V48*(1+$DH$1))+(V$4),AND($W$2=$DB$2,$B49&lt;=$DB$3,$B49&lt;=$DB$4,$B49&lt;=$DB$5),(V48*(1+$DH$1))+(V$4))</f>
        <v>0</v>
      </c>
      <c r="W49" s="326" cm="1">
        <f t="array" ref="W49">_xlfn.IFS(AND($A49&gt;$DA$6,$B49&gt;$DB$6),0,AND($W$2=$DA$2,$A49&gt;$DA$4),IF($Y48=0,0,(W48-((W48/$Y48)*$BY48))*(1+$DH$2)),AND($W$2=$DB$2,$B49&gt;$DB$4),IF($Y48=0,0,(W48-((W48/$Y48)*$BY48))*(1+$DH$2)),AND($W$2=$DA$2,OR($A49&gt;$DA$3,$A49&gt;$DA$6)),(W48*(1+$DH$1)),AND($W$2=$DB$2,OR($B49&gt;$DB$3,$B49&gt;$DB$6)),(W48*(1+$DH$1)),AND($W$2=$DA$2,$A49&lt;=$DA$3,$A49&lt;=$DA$4,$A49&lt;=$DA$5),(W48*(1+$DH$1))+(W$4),AND($W$2=$DB$2,$B49&lt;=$DB$3,$B49&lt;=$DB$4,$B49&lt;=$DB$5),(W48*(1+$DH$1))+(W$4))</f>
        <v>0</v>
      </c>
      <c r="Y49" s="1">
        <f t="shared" si="47"/>
        <v>0</v>
      </c>
      <c r="Z49" s="2">
        <f t="shared" si="37"/>
        <v>0</v>
      </c>
      <c r="AA49" s="375"/>
      <c r="AC49" s="326" cm="1">
        <f t="array" ref="AC49">_xlfn.IFS(AND(A49&gt;DA$6,B49&gt;DB$6),0,AND(A49&gt;DA$4,B49&gt;DB$4),IF(AG48=0,0,(AC48-((AC48/AG48)*CA48))*(1+DH$2)),OR(A49&gt;DA$3,A49&gt;DA$6),AC48*(1+DH$1),A49&gt;DA$4,(AC48-CA48)*(1+DH$2),AND(A49&lt;=DA$3,A49&lt;=DA$4,A49&lt;=DA$6),(AC48*(1+DH$1))+(AC$4))</f>
        <v>0</v>
      </c>
      <c r="AD49" s="375"/>
      <c r="AE49" s="326" cm="1">
        <f t="array" ref="AE49">_xlfn.IFS(AND(A49&gt;DA$6,B49&gt;DB$6),0,AND(A49&gt;DA$4,B49&gt;DB$4),IF(AG48=0,0,(AE48-((AE48/AG48)*CA48))*(1+DH$2)),OR(B49&gt;DB$3,B49&gt;DB$6),AE48*(1+DH$1),B49&gt;DB$4,(AE48-CA48)*(1+DH$2),AND(B49&lt;=DB$3,B49&lt;=DB$4,B49&lt;=DB$6),(AE48*(1+DH$1))+(AE$4))</f>
        <v>0</v>
      </c>
      <c r="AF49" s="375"/>
      <c r="AG49" s="1">
        <f t="shared" si="61"/>
        <v>0</v>
      </c>
      <c r="AH49" s="2">
        <f t="shared" si="48"/>
        <v>0</v>
      </c>
      <c r="AI49" s="14">
        <f t="shared" si="38"/>
        <v>0</v>
      </c>
      <c r="AK49" s="1">
        <f t="shared" si="49"/>
        <v>0</v>
      </c>
      <c r="AL49" s="14">
        <f t="shared" si="39"/>
        <v>0</v>
      </c>
      <c r="AM49" s="14" t="str">
        <f t="shared" si="23"/>
        <v/>
      </c>
      <c r="AO49" s="15">
        <f t="shared" si="40"/>
        <v>0</v>
      </c>
      <c r="AP49" s="1">
        <f>IF(AND(B49&gt;=$DB$6,A49&gt;=$DA$6),0,AP48*(1+Lookups!C$12))</f>
        <v>0</v>
      </c>
      <c r="AQ49" s="1">
        <f>IF(AND(B49&gt;=$DB$6,A49&gt;=$DA$6),0,AQ48*(1+Lookups!C$12))</f>
        <v>0</v>
      </c>
      <c r="AS49" s="1" cm="1">
        <f t="array" ref="AS49">_xlfn.IFS(OR(AS$6="",AND(A49&gt;=DA$6,B49&gt;=DB$6),AND(A49&lt;DA$4,B49&lt;DB$4)),0,AND(A49=DA$4,DA$4&lt;=DB$4),AS$6,AND(B49=DB$4,DA$4&gt;=DB$4),AS$6,OR(A49&gt;DA$4,B49&gt;DB$4),AS48*(1+Setup!C$103))</f>
        <v>0</v>
      </c>
      <c r="AT49" s="1" cm="1">
        <f t="array" ref="AT49">_xlfn.IFS(OR(AT$6="",AND(A49&gt;=DA$6,B49&gt;=DB$6),AND(A49&lt;DA$4,B49&lt;DB$4)),0,AND(A49=DA$4,DA$4&lt;=DB$4),AT$6,AND(B49=DB$4,DA$4&gt;=DB$4),AT$6,OR(A49&gt;DA$4,B49&gt;DB$4),AT48*(1+Setup!C$103))</f>
        <v>0</v>
      </c>
      <c r="AU49" s="1" cm="1">
        <f t="array" ref="AU49">_xlfn.IFS(OR(AU$6="",AND(A49&gt;=DA$6,B49&gt;=DB$6),AND(A49&lt;DA$4,B49&lt;DB$4)),0,AND(A49=DA$4,DA$4&lt;=DB$4),AU$6,AND(B49=DB$4,DA$4&gt;=DB$4),AU$6,OR(A49&gt;DA$4,B49&gt;DB$4),AU48*(1+Setup!C$103))</f>
        <v>0</v>
      </c>
      <c r="AV49" s="1" cm="1">
        <f t="array" ref="AV49">_xlfn.IFS(OR(AV$6="",AND(A49&gt;=DA$6,B49&gt;=DB$6),AND(A49&lt;DA$4,B49&lt;DB$4)),0,AND(A49=DA$4,DA$4&lt;=DB$4),AV$6,AND(B49=DB$4,DA$4&gt;=DB$4),AV$6,OR(A49&gt;DA$4,B49&gt;DB$4),AV48*(1+Setup!C$103))</f>
        <v>0</v>
      </c>
      <c r="AW49" s="1">
        <f t="shared" si="41"/>
        <v>0</v>
      </c>
      <c r="AY49" s="1" cm="1">
        <f t="array" ref="AY49">_xlfn.IFS(OR(AND(A49&gt;=DA$6,B49&gt;=DB$6),A49&lt;DA$5),0,AND(A49=DA$5,YEAR(C49)&gt;=Lookups!D$89),VLOOKUP(A49,Lookups!B$94:F$102,3),AND(A49=DA$5,YEAR(C49)&lt;Lookups!D$89),VLOOKUP(A49,Lookups!B$94:F$102,2),AND(A49&gt;DA$5,YEAR(C49)=Lookups!D$89),(AY48*Lookups!D$90)*(1+Lookups!C$20),AND(A49&gt;DA$5,YEAR(C49)&lt;&gt;Lookups!D$89),AY48*(1+Lookups!C$20))</f>
        <v>0</v>
      </c>
      <c r="AZ49" s="1" cm="1">
        <f t="array" ref="AZ49">_xlfn.IFS(OR(ISBLANK(Setup!K$91),Setup!K$91=0,AND(A49&gt;=DA$6,B49&gt;=DB$6),B49&lt;DB$5),0,AND(B49=DB$5,YEAR(C49)&gt;=Lookups!D$89),VLOOKUP(B49,Lookups!B$94:F$102,5),AND(B49=DB$5,YEAR(C49)&lt;Lookups!D$89),VLOOKUP(B49,Lookups!B$94:F$102,4),AND(B49&gt;DB$5,YEAR(C49)=Lookups!D$89),(AZ48*Lookups!D$90)*(1+Lookups!C$20),AND(B49&gt;DB$5,YEAR(C49)&lt;&gt;Lookups!D$89),AZ48*(1+Lookups!C$20))</f>
        <v>0</v>
      </c>
      <c r="BA49" s="65">
        <f>IF(OR(AY49&gt;0,AZ49&gt;0),(AY49+AZ49)*Lookups!D$120,0)</f>
        <v>0</v>
      </c>
      <c r="BB49" s="1" cm="1">
        <f t="array" ref="BB49">_xlfn.IFS(AND(A49&lt;DA$4,B49&lt;DB$4),0,OR(_xlfn.XOR(A49&gt;DA$6,B49&gt;DB$6),_xlfn.XOR(A49&gt;=DA$4,B49&gt;=DB$4)),IF(AP49-SUM(AW49,AY49:AZ49)&gt;0,AP49-SUM(AW49,AY49:AZ49),0),AQ49-SUM(AW49,AY49:AZ49)&gt;0, AQ49-SUM(AW49,AY49:AZ49),AQ49-SUM(AW49,AY49:AZ49)&lt;=0,0)</f>
        <v>0</v>
      </c>
      <c r="BD49" s="1" cm="1">
        <f t="array" ref="BD49">_xlfn.IFS(AND(A49&gt;=DA$6,B49&gt;=DB$6),0,AND(A49&gt;=DA$6,B49&gt;=Lookups!C$35),D49/VLOOKUP(B49,Lookups!C$37:D$67,2),A49&lt;Lookups!$C$35,0,A49&gt;=Lookups!C$35,D49/VLOOKUP(A49,Lookups!C$37:D$67,2))</f>
        <v>0</v>
      </c>
      <c r="BE49" s="1" cm="1">
        <f t="array" ref="BE49">_xlfn.IFS(AND(A49&gt;=DA$6,B49&gt;=DB$6),0,AND(B49&gt;=DB$6,A49&gt;=Lookups!C$35),F49/VLOOKUP(A49,Lookups!C$37:D$67,2),B49&lt;Lookups!$C$35,0,B49&gt;=Lookups!C$35,F49/VLOOKUP(B49,Lookups!C$37:D$67,2))</f>
        <v>0</v>
      </c>
      <c r="BF49" s="1" cm="1">
        <f t="array" ref="BF49">_xlfn.IFS($BB49&lt;=0,0,AND(A49&gt;=DA$4,B49&gt;=DB$4,$BB49*I49&lt;(BD49+BE49)),0,AND(A49&gt;=DA$4,B49&gt;=DB$4,H49&gt;=(BB49*I49)-BD49-BE49),(BB49*I49)-BD49-BE49,AND(A49&gt;=DA$4,B49&gt;=DB$4,H49&lt;(BB49*I49)-BD49-BE49),H49,AND(A49&gt;=DA$4,$BB49*I49&lt;(BD49)),0,AND(A49&gt;=DA$4,H49&gt;=(BB49*I49)-BD49),(BB49*I49)-BD49,AND(A49&gt;=DA$4,H49&lt;(BB49*I49)-BD49),H49,AND(B49&gt;=DB$4,$BB49*I49&lt;(BE49)),0,AND(B49&gt;=DB$4,H49&gt;=(BB49*I49)-BE49),(BB49*I49)-BE49,AND(B49&gt;=DB$4,H49&lt;(BB49*I49)-BE49),H49)</f>
        <v>0</v>
      </c>
      <c r="BG49" s="1">
        <f t="shared" si="53"/>
        <v>0</v>
      </c>
      <c r="BH49" s="1" cm="1">
        <f t="array" ref="BH49">_xlfn.IFS(OR(D49=0,A49&lt;DA$4),0,AND(A49&gt;=DA$4,B49&gt;=DB$4,D49&lt;BD49+($BF49*(D49/$H49))+(-$BP49*(D49/$H49))),D49,AND(A49&gt;=DA$4,B49&gt;=DB$4,$BB49&gt;$BG49),BD49+($BF49*(D49/$H49))+(-$BP49*(D49/$H49)),AND(A49&gt;=DA$4,B49&gt;=DB$4,OR(A49&gt;DA$6, B49&gt;DB$6),$AP49-SUM($AW49,$AY49:$AZ49)&lt;0),BD49+($BF49*(D49/$H49))+(-$BP49*(D49/$H49))+(BP49*(D49/$H49)),AND(A49&gt;=DA$4,B49&gt;=DB$4,$AQ49-SUM($AW49,$AY49:$AZ49)&lt;0),BD49+($BF49*(D49/$H49))+(-$BP49*(D49/$H49))+(BP49*(D49/$H49)),AND(A49&gt;=DA$4,D49&lt;BD49+$BF49-$BP49),D49,AND(A49&gt;=DA$4,$AP49-SUM($AW49,$AY49:$AZ49)&lt;0),BD49+($BF49*(D49/$H49))+(-$BP49*(D49/$H49))+(BP49*(D49/$H49)),A49&gt;=DA$4,BD49+$BF49-$BP49)</f>
        <v>0</v>
      </c>
      <c r="BI49" s="1" cm="1">
        <f t="array" ref="BI49">_xlfn.IFS(OR(F49=0,B49&lt;DB$4),0,AND(A49&gt;=DA$4,B49&gt;=DB$4,F49&lt;BE49+($BF49*(F49/$H49))+(-$BP49*(F49/$H49))),F49,AND(A49&gt;=DA$4,B49&gt;=DB$4,$BB49&gt;$BG49),BE49+($BF49*(F49/$H49))+(-$BP49*(F49/$H49)),AND(A49&gt;=DA$4,B49&gt;=DB$4,OR(A49&gt;DA$6, B49&gt;DB$6),$AP49-SUM($AW49,$AY49:$AZ49)&lt;0),BE49+($BF49*(F49/$H49))+(-$BP49*(F49/$H49))+(BP49*(F49/$H49)),AND(A49&gt;=DA$4,B49&gt;=DB$4,$AQ49-SUM($AW49,$AY49:$AZ49)&lt;0),BE49+($BF49*(F49/$H49))+(-$BP49*(F49/$H49))+(BP49*(F49/$H49)),AND(B49&gt;=DB$4,F49&lt;BE49+$BF49-$BP49),F49,AND(B49&gt;=DB$4,$AP49-SUM($AW49,$AY49:$AZ49)&lt;0),BE49+($BF49*(F49/$H49))+(-$BP49*(F49/$H49))+(BP49*(F49/$H49)),B49&gt;=DB$4,BE49+$BF49-$BP49)</f>
        <v>0</v>
      </c>
      <c r="BJ49" s="64" cm="1">
        <f t="array" ref="BJ49">IF(AW49+BA49+BG49&gt;0, AW49+BA49+BG49-_xlfn.IFS(AND(A49&gt;=65,B49&gt;=65),VLOOKUP(Setup!I$4,Lookups!C$133:F$136,4),OR(A49&gt;=65,B49&gt;=65),VLOOKUP(Setup!I$4,Lookups!C$133:E$136,3),AND(A49&lt;65,B49&lt;65),VLOOKUP(Setup!I$4,Lookups!C$133:D$136,2)),0)</f>
        <v>0</v>
      </c>
      <c r="BK49" s="1" cm="1">
        <f t="array" ref="BK49">IF(BJ49&gt;0,_xlfn.IFS(Setup!I$4=Lookups!D$109,-_xlfn.IFS($BJ49&gt;=Lookups!D$157, Lookups!F$157+($BJ49-Lookups!D$157)*Lookups!G$157,$BJ49&gt;=Lookups!D$156, Lookups!F$156+($BJ49-Lookups!D$156)*Lookups!G$156,$BJ49&gt;=Lookups!D$155, Lookups!F$155+($BJ49-Lookups!D$155)*Lookups!G$155,$BJ49&gt;=Lookups!D$154, Lookups!F$154+($BJ49-Lookups!D$154)*Lookups!G$154,$BJ49&gt;=Lookups!D$153, Lookups!F$153+($BJ49-Lookups!D$153)*Lookups!G$153,$BJ49&gt;=Lookups!D$152, Lookups!F$152+($BJ49-Lookups!D$152)*Lookups!G$152,$BJ49&lt;Lookups!D$152,$BJ49*Lookups!G$151),Setup!I$4=Lookups!D$110,-_xlfn.IFS($BJ49&gt;=Lookups!D$167, Lookups!F$167+($BJ49-Lookups!D$167)*Lookups!G$167,$BJ49&gt;=Lookups!D$166, Lookups!F$166+($BJ49-Lookups!D$166)*Lookups!G$166,$BJ49&gt;=Lookups!D$165, Lookups!F$165+($BJ49-Lookups!D$165)*Lookups!G$165,$BJ49&gt;=Lookups!D$164, Lookups!F$164+($BJ49-Lookups!D$164)*Lookups!G$164,$BJ49&gt;=Lookups!D$163, Lookups!F$163+($BJ49-Lookups!D$163)*Lookups!G$163,$BJ49&gt;=Lookups!D$162, Lookups!F$162+($BJ49-Lookups!D$162)*Lookups!G$162,$BJ49&lt;Lookups!D$162,$BJ49*Lookups!G$161),Setup!I$4=Lookups!D$111,-_xlfn.IFS($BJ49&gt;=Lookups!D$177, Lookups!F$177+($BJ49-Lookups!D$177)*Lookups!G$177,$BJ49&gt;=Lookups!D$176, Lookups!F$176+($BJ49-Lookups!D$176)*Lookups!G$176,$BJ49&gt;=Lookups!D$175, Lookups!F$175+($BJ49-Lookups!D$175)*Lookups!G$175,$BJ49&gt;=Lookups!D$174, Lookups!F$174+($BJ49-Lookups!D$174)*Lookups!G$174,$BJ49&gt;=Lookups!D$173, Lookups!F$173+($BJ49-Lookups!D$173)*Lookups!G$173,$BJ49&gt;=Lookups!D$172, Lookups!F$172+($BJ49-Lookups!D$172)*Lookups!G$172,$BJ49&lt;Lookups!D$172,$BJ49*Lookups!G$171), Setup!I$4=Lookups!D$112,-_xlfn.IFS($BJ49&gt;=Lookups!D$187, Lookups!F$187+($BJ49-Lookups!D$187)*Lookups!G$187,$BJ49&gt;=Lookups!D$186, Lookups!F$186+($BJ49-Lookups!D$186)*Lookups!G$186,$BJ49&gt;=Lookups!D$185, Lookups!F$185+($BJ49-Lookups!D$185)*Lookups!G$185,$BJ49&gt;=Lookups!D$184, Lookups!F$184+($BJ49-Lookups!D$184)*Lookups!G$184,$BJ49&gt;=Lookups!D$183, Lookups!F$183+($BJ49-Lookups!D$183)*Lookups!G$183,$BJ49&gt;=Lookups!D$182, Lookups!F$182+($BJ49-Lookups!D$182)*Lookups!G$182,$BJ49&lt;Lookups!D$182,$BJ49*Lookups!G$181)),0)</f>
        <v>0</v>
      </c>
      <c r="BL49" s="18">
        <f t="shared" si="54"/>
        <v>0</v>
      </c>
      <c r="BM49" s="134">
        <f t="shared" si="55"/>
        <v>0</v>
      </c>
      <c r="BN49" s="134" cm="1">
        <f t="array" aca="1" ref="BN49" ca="1">INDIRECT(Setup!I$6&amp;"!"&amp;"A"&amp;ROW())</f>
        <v>0</v>
      </c>
      <c r="BO49" s="134">
        <f t="shared" si="56"/>
        <v>0</v>
      </c>
      <c r="BP49" s="1">
        <f t="shared" si="57"/>
        <v>0</v>
      </c>
      <c r="BQ49" s="1">
        <f t="shared" si="58"/>
        <v>0</v>
      </c>
      <c r="BS49" s="1">
        <f t="shared" si="50"/>
        <v>0</v>
      </c>
      <c r="BT49" s="1" cm="1">
        <f t="array" ref="BT49">-IF(BS49&gt;0,_xlfn.IFS((AW49+BA49+BG49+BS49)&gt;=VLOOKUP(Setup!I$4,Lookups!C$210:E$213,3),BS49*Lookups!D$203,(AW49+BA49+BG49+BS49)&gt;=VLOOKUP(Setup!I$4,Lookups!C$210:E$213,2),BS49*Lookups!D$197,(AW49+BA49+BG49+BS49)&lt;VLOOKUP(Setup!I$4,Lookups!C$210:E$213,2),0),0)</f>
        <v>0</v>
      </c>
      <c r="BU49" s="18">
        <f t="shared" si="51"/>
        <v>0</v>
      </c>
      <c r="BV49" s="1">
        <f t="shared" si="52"/>
        <v>0</v>
      </c>
      <c r="BW49" s="1" cm="1">
        <f t="array" aca="1" ref="BW49" ca="1">INDIRECT(Setup!I$6&amp;"!"&amp;"A"&amp;ROW()+100)</f>
        <v>0</v>
      </c>
      <c r="BX49" s="1">
        <f t="shared" ca="1" si="44"/>
        <v>0</v>
      </c>
      <c r="BY49" s="1">
        <f t="shared" ca="1" si="45"/>
        <v>0</v>
      </c>
      <c r="CA49" s="1">
        <f t="shared" si="59"/>
        <v>0</v>
      </c>
      <c r="CC49" s="1" cm="1">
        <f t="array" ref="CC49">_xlfn.IFS(AND(A49&lt;$DA$4,B49&lt;$DB$4),0,AND(AND(A49&gt;=$DA$4,B49&gt;=$DB$4),AND(A49&lt;=$DA$6,B49&lt;=$DB$6),AND(BH49=0,BI49=0)),SUM(AW49,AY49:AZ49,BD49:BF49,BP49,BS49,CA49)-AQ49,AND(AND(A49&gt;=$DA$4,B49&gt;=$DB$4),AND(A49&lt;=$DA$6,B49&lt;=$DB$6)),SUM(AW49,AY49:AZ49,BD49:BF49,BS49,CA49)-AQ49,AND(OR(A49&gt;=$DA$4,B49&gt;=$DB$4),AND(BH49=0,BI49=0)),SUM(AW49,AY49:AZ49,BD49:BF49,BP49,BS49,CA49)-AP49,OR(A49&gt;=$DA$4,B49&gt;=$DB$4),SUM(AW49,AY49:AZ49,BD49:BF49,BS49,CA49)-AP49)</f>
        <v>0</v>
      </c>
      <c r="CD49" s="142" t="str">
        <f t="shared" si="30"/>
        <v/>
      </c>
    </row>
    <row r="50" spans="1:82" x14ac:dyDescent="0.3">
      <c r="A50" s="354">
        <f t="shared" si="31"/>
        <v>43</v>
      </c>
      <c r="B50" s="354">
        <f t="shared" si="32"/>
        <v>43</v>
      </c>
      <c r="C50" s="359">
        <f t="shared" si="33"/>
        <v>15707</v>
      </c>
      <c r="D50" s="326" cm="1">
        <f t="array" ref="D50">_xlfn.IFS(AND(A50&gt;DA$6,B50&gt;DB$6),0,AND(A50&gt;DA$3,A50&lt;=DA$4),D49*(1+DH$1),OR(A50&gt;DA$6,A50&gt;DA$4),(D49-BH49)*(1+DH$2),A50&lt;=DA$4,(D49*(1+DH$1))+(D$4))</f>
        <v>0</v>
      </c>
      <c r="E50" s="375"/>
      <c r="F50" s="326" cm="1">
        <f t="array" ref="F50">_xlfn.IFS(AND(A50&gt;DA$6,B50&gt;DB$6),0,AND(B50&gt;DB$3,B50&lt;=DB$4),F49*(1+DH$1),OR(B50&gt;DB$6,B50&gt;DB$4),(F49-BI49)*(1+DH$2),B50&lt;=DB$4,(F49*(1+DH$1))+(F$4))</f>
        <v>0</v>
      </c>
      <c r="G50" s="375"/>
      <c r="H50" s="1">
        <f t="shared" si="60"/>
        <v>0</v>
      </c>
      <c r="I50" s="2">
        <f t="shared" si="36"/>
        <v>0</v>
      </c>
      <c r="J50" s="14">
        <f t="shared" si="35"/>
        <v>0</v>
      </c>
      <c r="L50" s="402" cm="1">
        <f t="array" ref="L50">_xlfn.IFS(AND(A50&gt;DA$6,B50&gt;DB$6),0,A50&lt;DA$6,0,A50=DA$6,L$4,AND(A50&gt;DA$6,B50&lt;=DB$4),L49*(1+DH$1),AND(A50&gt;DA$6,B50&gt;DB$4),IF(Y49=0,0,(L49-((L49/Y49)*BY49))*(1+DH$2)))</f>
        <v>0</v>
      </c>
      <c r="M50" s="402" cm="1">
        <f t="array" ref="M50">_xlfn.IFS(AND(A50&gt;DA$6,B50&gt;DB$6),0,B50&lt;DB$6,0,B50=DB$6,M$4,AND(B50&gt;DB$6,A50&lt;=DA$4),M49*(1+DH$1),AND(A50&gt;DA$4,B50&gt;DB$6),IF(Y49=0,0,(M49-((M49/Y49)*BY49))*(1+DH$2)))</f>
        <v>0</v>
      </c>
      <c r="N50" s="327"/>
      <c r="O50" s="327" cm="1">
        <f t="array" ref="O50">_xlfn.IFS(OR(ISBLANK(Setup!C$63),Setup!C$63&gt;YEAR(C50),AND(A50&gt;DA$6,B50&gt;DB$6),ISBLANK(Y49)),0,Setup!C$63=YEAR(C50),Setup!C$62,AND(OR(A50&lt;=DA$4,B50&lt;=DB$4),Setup!C$63&lt;YEAR(C50)),O49*(1+DH$1),AND(A50&gt;DA$4,B50&gt;DB$4,Setup!C$63&lt;YEAR(C50)),IF(Y49=0,0,(O49-((O49/Y49)*BY49))*(1+DH$2)))</f>
        <v>0</v>
      </c>
      <c r="P50" s="327" cm="1">
        <f t="array" ref="P50">_xlfn.IFS(OR(ISBLANK(Setup!C$67),Setup!C$67&gt;YEAR(C50),AND(A50&gt;DA$6,B50&gt;DB$6)),0,Setup!C$67=YEAR(C50),Setup!C$66,AND(OR(A50&lt;=DA$4,B50&lt;=DB$4),Setup!C$67&lt;YEAR(C50)),P49*(1+DH$1),AND(A50&gt;DA$4,B50&gt;DB$4,Setup!C$67&lt;YEAR(C50)),IF(Y49=0,0,(P49-((P49/Y49)*BY49))*(1+DH$2)))</f>
        <v>0</v>
      </c>
      <c r="Q50" s="327" cm="1">
        <f t="array" ref="Q50">_xlfn.IFS(OR(ISBLANK(Setup!C$71),Setup!C$71&gt;YEAR(C50),AND(A50&gt;DA$6,B50&gt;DB$6)),0,Setup!C$71=YEAR(C50),Setup!C$70,AND(OR(A50&lt;=DA$4,B50&lt;=DB$4),Setup!C$71&lt;YEAR(C50)),Q49*(1+DH$1),AND(A50&gt;DA$4,B50&gt;DB$4,Setup!C$71&lt;YEAR(C50)),IF(Y49=0,0,(Q49-((Q49/Y49)*BY49))*(1+DH$2)))</f>
        <v>0</v>
      </c>
      <c r="R50" s="327" cm="1">
        <f t="array" ref="R50">_xlfn.IFS(OR(ISBLANK(Setup!C$75),Setup!C$75&gt;YEAR(C50),AND(A50&gt;DA$6,B50&gt;DB$6)),0,Setup!C$75=YEAR(C50),Setup!C$74,AND(OR(A50&lt;=DA$4,B50&lt;=DB$4),Setup!C$75&lt;YEAR(C50)),R49*(1+DH$1),AND(A50&gt;DA$4,B50&gt;DB$4,Setup!C$75&lt;YEAR(C50)),IF(Y49=0,0,(R49-((R49/Y49)*BY49))*(1+DH$2)))</f>
        <v>0</v>
      </c>
      <c r="S50" s="327"/>
      <c r="T50" s="326" cm="1">
        <f t="array" ref="T50">_xlfn.IFS(AND($A50&gt;$DA$6,$B50&gt;$DB$6),0,AND($W$2=$DA$2,$A50&gt;$DA$4),IF($Y49=0,0,(T49-((T49/$Y49)*$BY49))*(1+$DH$2)),AND($W$2=$DB$2,$B50&gt;$DB$4),IF($Y49=0,0,(T49-((T49/$Y49)*$BY49))*(1+$DH$2)),AND($W$2=$DA$2,OR($A50&gt;$DA$3,$A50&gt;$DA$6)),(T49*(1+$DH$1)),AND($W$2=$DB$2,OR($B50&gt;$DB$3,$B50&gt;$DB$6)),(T49*(1+$DH$1)),AND($W$2=$DA$2,$A50&lt;=$DA$3,$A50&lt;=$DA$4,$A50&lt;=$DA$5),(T49*(1+$DH$1))+(T$4),AND($W$2=$DB$2,$B50&lt;=$DB$3,$B50&lt;=$DB$4,$B50&lt;=$DB$5),(T49*(1+$DH$1))+(T$4))</f>
        <v>0</v>
      </c>
      <c r="U50" s="326" cm="1">
        <f t="array" ref="U50">_xlfn.IFS(AND($A50&gt;$DA$6,$B50&gt;$DB$6),0,AND($W$2=$DA$2,$A50&gt;$DA$4),IF($Y49=0,0,(U49-((U49/$Y49)*$BY49))*(1+$DH$2)),AND($W$2=$DB$2,$B50&gt;$DB$4),IF($Y49=0,0,(U49-((U49/$Y49)*$BY49))*(1+$DH$2)),AND($W$2=$DA$2,OR($A50&gt;$DA$3,$A50&gt;$DA$6)),(U49*(1+$DH$1)),AND($W$2=$DB$2,OR($B50&gt;$DB$3,$B50&gt;$DB$6)),(U49*(1+$DH$1)),AND($W$2=$DA$2,$A50&lt;=$DA$3,$A50&lt;=$DA$4,$A50&lt;=$DA$5),(U49*(1+$DH$1))+(U$4),AND($W$2=$DB$2,$B50&lt;=$DB$3,$B50&lt;=$DB$4,$B50&lt;=$DB$5),(U49*(1+$DH$1))+(U$4))</f>
        <v>0</v>
      </c>
      <c r="V50" s="326" cm="1">
        <f t="array" ref="V50">_xlfn.IFS(AND($A50&gt;$DA$6,$B50&gt;$DB$6),0,AND($W$2=$DA$2,$A50&gt;$DA$4),IF($Y49=0,0,(V49-((V49/$Y49)*$BY49))*(1+$DH$2)),AND($W$2=$DB$2,$B50&gt;$DB$4),IF($Y49=0,0,(V49-((V49/$Y49)*$BY49))*(1+$DH$2)),AND($W$2=$DA$2,OR($A50&gt;$DA$3,$A50&gt;$DA$6)),(V49*(1+$DH$1)),AND($W$2=$DB$2,OR($B50&gt;$DB$3,$B50&gt;$DB$6)),(V49*(1+$DH$1)),AND($W$2=$DA$2,$A50&lt;=$DA$3,$A50&lt;=$DA$4,$A50&lt;=$DA$5),(V49*(1+$DH$1))+(V$4),AND($W$2=$DB$2,$B50&lt;=$DB$3,$B50&lt;=$DB$4,$B50&lt;=$DB$5),(V49*(1+$DH$1))+(V$4))</f>
        <v>0</v>
      </c>
      <c r="W50" s="326" cm="1">
        <f t="array" ref="W50">_xlfn.IFS(AND($A50&gt;$DA$6,$B50&gt;$DB$6),0,AND($W$2=$DA$2,$A50&gt;$DA$4),IF($Y49=0,0,(W49-((W49/$Y49)*$BY49))*(1+$DH$2)),AND($W$2=$DB$2,$B50&gt;$DB$4),IF($Y49=0,0,(W49-((W49/$Y49)*$BY49))*(1+$DH$2)),AND($W$2=$DA$2,OR($A50&gt;$DA$3,$A50&gt;$DA$6)),(W49*(1+$DH$1)),AND($W$2=$DB$2,OR($B50&gt;$DB$3,$B50&gt;$DB$6)),(W49*(1+$DH$1)),AND($W$2=$DA$2,$A50&lt;=$DA$3,$A50&lt;=$DA$4,$A50&lt;=$DA$5),(W49*(1+$DH$1))+(W$4),AND($W$2=$DB$2,$B50&lt;=$DB$3,$B50&lt;=$DB$4,$B50&lt;=$DB$5),(W49*(1+$DH$1))+(W$4))</f>
        <v>0</v>
      </c>
      <c r="Y50" s="1">
        <f t="shared" si="47"/>
        <v>0</v>
      </c>
      <c r="Z50" s="2">
        <f t="shared" si="37"/>
        <v>0</v>
      </c>
      <c r="AA50" s="375"/>
      <c r="AC50" s="326" cm="1">
        <f t="array" ref="AC50">_xlfn.IFS(AND(A50&gt;DA$6,B50&gt;DB$6),0,AND(A50&gt;DA$4,B50&gt;DB$4),IF(AG49=0,0,(AC49-((AC49/AG49)*CA49))*(1+DH$2)),OR(A50&gt;DA$3,A50&gt;DA$6),AC49*(1+DH$1),A50&gt;DA$4,(AC49-CA49)*(1+DH$2),AND(A50&lt;=DA$3,A50&lt;=DA$4,A50&lt;=DA$6),(AC49*(1+DH$1))+(AC$4))</f>
        <v>0</v>
      </c>
      <c r="AD50" s="375"/>
      <c r="AE50" s="326" cm="1">
        <f t="array" ref="AE50">_xlfn.IFS(AND(A50&gt;DA$6,B50&gt;DB$6),0,AND(A50&gt;DA$4,B50&gt;DB$4),IF(AG49=0,0,(AE49-((AE49/AG49)*CA49))*(1+DH$2)),OR(B50&gt;DB$3,B50&gt;DB$6),AE49*(1+DH$1),B50&gt;DB$4,(AE49-CA49)*(1+DH$2),AND(B50&lt;=DB$3,B50&lt;=DB$4,B50&lt;=DB$6),(AE49*(1+DH$1))+(AE$4))</f>
        <v>0</v>
      </c>
      <c r="AF50" s="375"/>
      <c r="AG50" s="1">
        <f t="shared" si="61"/>
        <v>0</v>
      </c>
      <c r="AH50" s="2">
        <f t="shared" si="48"/>
        <v>0</v>
      </c>
      <c r="AI50" s="14">
        <f t="shared" si="38"/>
        <v>0</v>
      </c>
      <c r="AK50" s="1">
        <f t="shared" si="49"/>
        <v>0</v>
      </c>
      <c r="AL50" s="14">
        <f t="shared" si="39"/>
        <v>0</v>
      </c>
      <c r="AM50" s="14" t="str">
        <f t="shared" si="23"/>
        <v/>
      </c>
      <c r="AO50" s="15">
        <f t="shared" si="40"/>
        <v>0</v>
      </c>
      <c r="AP50" s="1">
        <f>IF(AND(B50&gt;=$DB$6,A50&gt;=$DA$6),0,AP49*(1+Lookups!C$12))</f>
        <v>0</v>
      </c>
      <c r="AQ50" s="1">
        <f>IF(AND(B50&gt;=$DB$6,A50&gt;=$DA$6),0,AQ49*(1+Lookups!C$12))</f>
        <v>0</v>
      </c>
      <c r="AS50" s="1" cm="1">
        <f t="array" ref="AS50">_xlfn.IFS(OR(AS$6="",AND(A50&gt;=DA$6,B50&gt;=DB$6),AND(A50&lt;DA$4,B50&lt;DB$4)),0,AND(A50=DA$4,DA$4&lt;=DB$4),AS$6,AND(B50=DB$4,DA$4&gt;=DB$4),AS$6,OR(A50&gt;DA$4,B50&gt;DB$4),AS49*(1+Setup!C$103))</f>
        <v>0</v>
      </c>
      <c r="AT50" s="1" cm="1">
        <f t="array" ref="AT50">_xlfn.IFS(OR(AT$6="",AND(A50&gt;=DA$6,B50&gt;=DB$6),AND(A50&lt;DA$4,B50&lt;DB$4)),0,AND(A50=DA$4,DA$4&lt;=DB$4),AT$6,AND(B50=DB$4,DA$4&gt;=DB$4),AT$6,OR(A50&gt;DA$4,B50&gt;DB$4),AT49*(1+Setup!C$103))</f>
        <v>0</v>
      </c>
      <c r="AU50" s="1" cm="1">
        <f t="array" ref="AU50">_xlfn.IFS(OR(AU$6="",AND(A50&gt;=DA$6,B50&gt;=DB$6),AND(A50&lt;DA$4,B50&lt;DB$4)),0,AND(A50=DA$4,DA$4&lt;=DB$4),AU$6,AND(B50=DB$4,DA$4&gt;=DB$4),AU$6,OR(A50&gt;DA$4,B50&gt;DB$4),AU49*(1+Setup!C$103))</f>
        <v>0</v>
      </c>
      <c r="AV50" s="1" cm="1">
        <f t="array" ref="AV50">_xlfn.IFS(OR(AV$6="",AND(A50&gt;=DA$6,B50&gt;=DB$6),AND(A50&lt;DA$4,B50&lt;DB$4)),0,AND(A50=DA$4,DA$4&lt;=DB$4),AV$6,AND(B50=DB$4,DA$4&gt;=DB$4),AV$6,OR(A50&gt;DA$4,B50&gt;DB$4),AV49*(1+Setup!C$103))</f>
        <v>0</v>
      </c>
      <c r="AW50" s="1">
        <f t="shared" si="41"/>
        <v>0</v>
      </c>
      <c r="AY50" s="1" cm="1">
        <f t="array" ref="AY50">_xlfn.IFS(OR(AND(A50&gt;=DA$6,B50&gt;=DB$6),A50&lt;DA$5),0,AND(A50=DA$5,YEAR(C50)&gt;=Lookups!D$89),VLOOKUP(A50,Lookups!B$94:F$102,3),AND(A50=DA$5,YEAR(C50)&lt;Lookups!D$89),VLOOKUP(A50,Lookups!B$94:F$102,2),AND(A50&gt;DA$5,YEAR(C50)=Lookups!D$89),(AY49*Lookups!D$90)*(1+Lookups!C$20),AND(A50&gt;DA$5,YEAR(C50)&lt;&gt;Lookups!D$89),AY49*(1+Lookups!C$20))</f>
        <v>0</v>
      </c>
      <c r="AZ50" s="1" cm="1">
        <f t="array" ref="AZ50">_xlfn.IFS(OR(ISBLANK(Setup!K$91),Setup!K$91=0,AND(A50&gt;=DA$6,B50&gt;=DB$6),B50&lt;DB$5),0,AND(B50=DB$5,YEAR(C50)&gt;=Lookups!D$89),VLOOKUP(B50,Lookups!B$94:F$102,5),AND(B50=DB$5,YEAR(C50)&lt;Lookups!D$89),VLOOKUP(B50,Lookups!B$94:F$102,4),AND(B50&gt;DB$5,YEAR(C50)=Lookups!D$89),(AZ49*Lookups!D$90)*(1+Lookups!C$20),AND(B50&gt;DB$5,YEAR(C50)&lt;&gt;Lookups!D$89),AZ49*(1+Lookups!C$20))</f>
        <v>0</v>
      </c>
      <c r="BA50" s="65">
        <f>IF(OR(AY50&gt;0,AZ50&gt;0),(AY50+AZ50)*Lookups!D$120,0)</f>
        <v>0</v>
      </c>
      <c r="BB50" s="1" cm="1">
        <f t="array" ref="BB50">_xlfn.IFS(AND(A50&lt;DA$4,B50&lt;DB$4),0,OR(_xlfn.XOR(A50&gt;DA$6,B50&gt;DB$6),_xlfn.XOR(A50&gt;=DA$4,B50&gt;=DB$4)),IF(AP50-SUM(AW50,AY50:AZ50)&gt;0,AP50-SUM(AW50,AY50:AZ50),0),AQ50-SUM(AW50,AY50:AZ50)&gt;0, AQ50-SUM(AW50,AY50:AZ50),AQ50-SUM(AW50,AY50:AZ50)&lt;=0,0)</f>
        <v>0</v>
      </c>
      <c r="BD50" s="1" cm="1">
        <f t="array" ref="BD50">_xlfn.IFS(AND(A50&gt;=DA$6,B50&gt;=DB$6),0,AND(A50&gt;=DA$6,B50&gt;=Lookups!C$35),D50/VLOOKUP(B50,Lookups!C$37:D$67,2),A50&lt;Lookups!$C$35,0,A50&gt;=Lookups!C$35,D50/VLOOKUP(A50,Lookups!C$37:D$67,2))</f>
        <v>0</v>
      </c>
      <c r="BE50" s="1" cm="1">
        <f t="array" ref="BE50">_xlfn.IFS(AND(A50&gt;=DA$6,B50&gt;=DB$6),0,AND(B50&gt;=DB$6,A50&gt;=Lookups!C$35),F50/VLOOKUP(A50,Lookups!C$37:D$67,2),B50&lt;Lookups!$C$35,0,B50&gt;=Lookups!C$35,F50/VLOOKUP(B50,Lookups!C$37:D$67,2))</f>
        <v>0</v>
      </c>
      <c r="BF50" s="1" cm="1">
        <f t="array" ref="BF50">_xlfn.IFS($BB50&lt;=0,0,AND(A50&gt;=DA$4,B50&gt;=DB$4,$BB50*I50&lt;(BD50+BE50)),0,AND(A50&gt;=DA$4,B50&gt;=DB$4,H50&gt;=(BB50*I50)-BD50-BE50),(BB50*I50)-BD50-BE50,AND(A50&gt;=DA$4,B50&gt;=DB$4,H50&lt;(BB50*I50)-BD50-BE50),H50,AND(A50&gt;=DA$4,$BB50*I50&lt;(BD50)),0,AND(A50&gt;=DA$4,H50&gt;=(BB50*I50)-BD50),(BB50*I50)-BD50,AND(A50&gt;=DA$4,H50&lt;(BB50*I50)-BD50),H50,AND(B50&gt;=DB$4,$BB50*I50&lt;(BE50)),0,AND(B50&gt;=DB$4,H50&gt;=(BB50*I50)-BE50),(BB50*I50)-BE50,AND(B50&gt;=DB$4,H50&lt;(BB50*I50)-BE50),H50)</f>
        <v>0</v>
      </c>
      <c r="BG50" s="1">
        <f t="shared" si="53"/>
        <v>0</v>
      </c>
      <c r="BH50" s="1" cm="1">
        <f t="array" ref="BH50">_xlfn.IFS(OR(D50=0,A50&lt;DA$4),0,AND(A50&gt;=DA$4,B50&gt;=DB$4,D50&lt;BD50+($BF50*(D50/$H50))+(-$BP50*(D50/$H50))),D50,AND(A50&gt;=DA$4,B50&gt;=DB$4,$BB50&gt;$BG50),BD50+($BF50*(D50/$H50))+(-$BP50*(D50/$H50)),AND(A50&gt;=DA$4,B50&gt;=DB$4,OR(A50&gt;DA$6, B50&gt;DB$6),$AP50-SUM($AW50,$AY50:$AZ50)&lt;0),BD50+($BF50*(D50/$H50))+(-$BP50*(D50/$H50))+(BP50*(D50/$H50)),AND(A50&gt;=DA$4,B50&gt;=DB$4,$AQ50-SUM($AW50,$AY50:$AZ50)&lt;0),BD50+($BF50*(D50/$H50))+(-$BP50*(D50/$H50))+(BP50*(D50/$H50)),AND(A50&gt;=DA$4,D50&lt;BD50+$BF50-$BP50),D50,AND(A50&gt;=DA$4,$AP50-SUM($AW50,$AY50:$AZ50)&lt;0),BD50+($BF50*(D50/$H50))+(-$BP50*(D50/$H50))+(BP50*(D50/$H50)),A50&gt;=DA$4,BD50+$BF50-$BP50)</f>
        <v>0</v>
      </c>
      <c r="BI50" s="1" cm="1">
        <f t="array" ref="BI50">_xlfn.IFS(OR(F50=0,B50&lt;DB$4),0,AND(A50&gt;=DA$4,B50&gt;=DB$4,F50&lt;BE50+($BF50*(F50/$H50))+(-$BP50*(F50/$H50))),F50,AND(A50&gt;=DA$4,B50&gt;=DB$4,$BB50&gt;$BG50),BE50+($BF50*(F50/$H50))+(-$BP50*(F50/$H50)),AND(A50&gt;=DA$4,B50&gt;=DB$4,OR(A50&gt;DA$6, B50&gt;DB$6),$AP50-SUM($AW50,$AY50:$AZ50)&lt;0),BE50+($BF50*(F50/$H50))+(-$BP50*(F50/$H50))+(BP50*(F50/$H50)),AND(A50&gt;=DA$4,B50&gt;=DB$4,$AQ50-SUM($AW50,$AY50:$AZ50)&lt;0),BE50+($BF50*(F50/$H50))+(-$BP50*(F50/$H50))+(BP50*(F50/$H50)),AND(B50&gt;=DB$4,F50&lt;BE50+$BF50-$BP50),F50,AND(B50&gt;=DB$4,$AP50-SUM($AW50,$AY50:$AZ50)&lt;0),BE50+($BF50*(F50/$H50))+(-$BP50*(F50/$H50))+(BP50*(F50/$H50)),B50&gt;=DB$4,BE50+$BF50-$BP50)</f>
        <v>0</v>
      </c>
      <c r="BJ50" s="64" cm="1">
        <f t="array" ref="BJ50">IF(AW50+BA50+BG50&gt;0, AW50+BA50+BG50-_xlfn.IFS(AND(A50&gt;=65,B50&gt;=65),VLOOKUP(Setup!I$4,Lookups!C$133:F$136,4),OR(A50&gt;=65,B50&gt;=65),VLOOKUP(Setup!I$4,Lookups!C$133:E$136,3),AND(A50&lt;65,B50&lt;65),VLOOKUP(Setup!I$4,Lookups!C$133:D$136,2)),0)</f>
        <v>0</v>
      </c>
      <c r="BK50" s="1" cm="1">
        <f t="array" ref="BK50">IF(BJ50&gt;0,_xlfn.IFS(Setup!I$4=Lookups!D$109,-_xlfn.IFS($BJ50&gt;=Lookups!D$157, Lookups!F$157+($BJ50-Lookups!D$157)*Lookups!G$157,$BJ50&gt;=Lookups!D$156, Lookups!F$156+($BJ50-Lookups!D$156)*Lookups!G$156,$BJ50&gt;=Lookups!D$155, Lookups!F$155+($BJ50-Lookups!D$155)*Lookups!G$155,$BJ50&gt;=Lookups!D$154, Lookups!F$154+($BJ50-Lookups!D$154)*Lookups!G$154,$BJ50&gt;=Lookups!D$153, Lookups!F$153+($BJ50-Lookups!D$153)*Lookups!G$153,$BJ50&gt;=Lookups!D$152, Lookups!F$152+($BJ50-Lookups!D$152)*Lookups!G$152,$BJ50&lt;Lookups!D$152,$BJ50*Lookups!G$151),Setup!I$4=Lookups!D$110,-_xlfn.IFS($BJ50&gt;=Lookups!D$167, Lookups!F$167+($BJ50-Lookups!D$167)*Lookups!G$167,$BJ50&gt;=Lookups!D$166, Lookups!F$166+($BJ50-Lookups!D$166)*Lookups!G$166,$BJ50&gt;=Lookups!D$165, Lookups!F$165+($BJ50-Lookups!D$165)*Lookups!G$165,$BJ50&gt;=Lookups!D$164, Lookups!F$164+($BJ50-Lookups!D$164)*Lookups!G$164,$BJ50&gt;=Lookups!D$163, Lookups!F$163+($BJ50-Lookups!D$163)*Lookups!G$163,$BJ50&gt;=Lookups!D$162, Lookups!F$162+($BJ50-Lookups!D$162)*Lookups!G$162,$BJ50&lt;Lookups!D$162,$BJ50*Lookups!G$161),Setup!I$4=Lookups!D$111,-_xlfn.IFS($BJ50&gt;=Lookups!D$177, Lookups!F$177+($BJ50-Lookups!D$177)*Lookups!G$177,$BJ50&gt;=Lookups!D$176, Lookups!F$176+($BJ50-Lookups!D$176)*Lookups!G$176,$BJ50&gt;=Lookups!D$175, Lookups!F$175+($BJ50-Lookups!D$175)*Lookups!G$175,$BJ50&gt;=Lookups!D$174, Lookups!F$174+($BJ50-Lookups!D$174)*Lookups!G$174,$BJ50&gt;=Lookups!D$173, Lookups!F$173+($BJ50-Lookups!D$173)*Lookups!G$173,$BJ50&gt;=Lookups!D$172, Lookups!F$172+($BJ50-Lookups!D$172)*Lookups!G$172,$BJ50&lt;Lookups!D$172,$BJ50*Lookups!G$171), Setup!I$4=Lookups!D$112,-_xlfn.IFS($BJ50&gt;=Lookups!D$187, Lookups!F$187+($BJ50-Lookups!D$187)*Lookups!G$187,$BJ50&gt;=Lookups!D$186, Lookups!F$186+($BJ50-Lookups!D$186)*Lookups!G$186,$BJ50&gt;=Lookups!D$185, Lookups!F$185+($BJ50-Lookups!D$185)*Lookups!G$185,$BJ50&gt;=Lookups!D$184, Lookups!F$184+($BJ50-Lookups!D$184)*Lookups!G$184,$BJ50&gt;=Lookups!D$183, Lookups!F$183+($BJ50-Lookups!D$183)*Lookups!G$183,$BJ50&gt;=Lookups!D$182, Lookups!F$182+($BJ50-Lookups!D$182)*Lookups!G$182,$BJ50&lt;Lookups!D$182,$BJ50*Lookups!G$181)),0)</f>
        <v>0</v>
      </c>
      <c r="BL50" s="18">
        <f t="shared" si="54"/>
        <v>0</v>
      </c>
      <c r="BM50" s="134">
        <f t="shared" si="55"/>
        <v>0</v>
      </c>
      <c r="BN50" s="134" cm="1">
        <f t="array" aca="1" ref="BN50" ca="1">INDIRECT(Setup!I$6&amp;"!"&amp;"A"&amp;ROW())</f>
        <v>0</v>
      </c>
      <c r="BO50" s="134">
        <f t="shared" si="56"/>
        <v>0</v>
      </c>
      <c r="BP50" s="1">
        <f t="shared" si="57"/>
        <v>0</v>
      </c>
      <c r="BQ50" s="1">
        <f t="shared" si="58"/>
        <v>0</v>
      </c>
      <c r="BS50" s="1">
        <f t="shared" si="50"/>
        <v>0</v>
      </c>
      <c r="BT50" s="1" cm="1">
        <f t="array" ref="BT50">-IF(BS50&gt;0,_xlfn.IFS((AW50+BA50+BG50+BS50)&gt;=VLOOKUP(Setup!I$4,Lookups!C$210:E$213,3),BS50*Lookups!D$203,(AW50+BA50+BG50+BS50)&gt;=VLOOKUP(Setup!I$4,Lookups!C$210:E$213,2),BS50*Lookups!D$197,(AW50+BA50+BG50+BS50)&lt;VLOOKUP(Setup!I$4,Lookups!C$210:E$213,2),0),0)</f>
        <v>0</v>
      </c>
      <c r="BU50" s="18">
        <f t="shared" si="51"/>
        <v>0</v>
      </c>
      <c r="BV50" s="1">
        <f t="shared" si="52"/>
        <v>0</v>
      </c>
      <c r="BW50" s="1" cm="1">
        <f t="array" aca="1" ref="BW50" ca="1">INDIRECT(Setup!I$6&amp;"!"&amp;"A"&amp;ROW()+100)</f>
        <v>0</v>
      </c>
      <c r="BX50" s="1">
        <f t="shared" ca="1" si="44"/>
        <v>0</v>
      </c>
      <c r="BY50" s="1">
        <f t="shared" ca="1" si="45"/>
        <v>0</v>
      </c>
      <c r="CA50" s="1">
        <f t="shared" si="59"/>
        <v>0</v>
      </c>
      <c r="CC50" s="1" cm="1">
        <f t="array" ref="CC50">_xlfn.IFS(AND(A50&lt;$DA$4,B50&lt;$DB$4),0,AND(AND(A50&gt;=$DA$4,B50&gt;=$DB$4),AND(A50&lt;=$DA$6,B50&lt;=$DB$6),AND(BH50=0,BI50=0)),SUM(AW50,AY50:AZ50,BD50:BF50,BP50,BS50,CA50)-AQ50,AND(AND(A50&gt;=$DA$4,B50&gt;=$DB$4),AND(A50&lt;=$DA$6,B50&lt;=$DB$6)),SUM(AW50,AY50:AZ50,BD50:BF50,BS50,CA50)-AQ50,AND(OR(A50&gt;=$DA$4,B50&gt;=$DB$4),AND(BH50=0,BI50=0)),SUM(AW50,AY50:AZ50,BD50:BF50,BP50,BS50,CA50)-AP50,OR(A50&gt;=$DA$4,B50&gt;=$DB$4),SUM(AW50,AY50:AZ50,BD50:BF50,BS50,CA50)-AP50)</f>
        <v>0</v>
      </c>
      <c r="CD50" s="142" t="str">
        <f t="shared" si="30"/>
        <v/>
      </c>
    </row>
    <row r="51" spans="1:82" x14ac:dyDescent="0.3">
      <c r="A51" s="354">
        <f t="shared" si="31"/>
        <v>44</v>
      </c>
      <c r="B51" s="354">
        <f t="shared" si="32"/>
        <v>44</v>
      </c>
      <c r="C51" s="359">
        <f t="shared" si="33"/>
        <v>16072</v>
      </c>
      <c r="D51" s="326" cm="1">
        <f t="array" ref="D51">_xlfn.IFS(AND(A51&gt;DA$6,B51&gt;DB$6),0,AND(A51&gt;DA$3,A51&lt;=DA$4),D50*(1+DH$1),OR(A51&gt;DA$6,A51&gt;DA$4),(D50-BH50)*(1+DH$2),A51&lt;=DA$4,(D50*(1+DH$1))+(D$4))</f>
        <v>0</v>
      </c>
      <c r="E51" s="375"/>
      <c r="F51" s="326" cm="1">
        <f t="array" ref="F51">_xlfn.IFS(AND(A51&gt;DA$6,B51&gt;DB$6),0,AND(B51&gt;DB$3,B51&lt;=DB$4),F50*(1+DH$1),OR(B51&gt;DB$6,B51&gt;DB$4),(F50-BI50)*(1+DH$2),B51&lt;=DB$4,(F50*(1+DH$1))+(F$4))</f>
        <v>0</v>
      </c>
      <c r="G51" s="375"/>
      <c r="H51" s="1">
        <f t="shared" si="60"/>
        <v>0</v>
      </c>
      <c r="I51" s="2">
        <f t="shared" si="36"/>
        <v>0</v>
      </c>
      <c r="J51" s="14">
        <f t="shared" si="35"/>
        <v>0</v>
      </c>
      <c r="L51" s="402" cm="1">
        <f t="array" ref="L51">_xlfn.IFS(AND(A51&gt;DA$6,B51&gt;DB$6),0,A51&lt;DA$6,0,A51=DA$6,L$4,AND(A51&gt;DA$6,B51&lt;=DB$4),L50*(1+DH$1),AND(A51&gt;DA$6,B51&gt;DB$4),IF(Y50=0,0,(L50-((L50/Y50)*BY50))*(1+DH$2)))</f>
        <v>0</v>
      </c>
      <c r="M51" s="402" cm="1">
        <f t="array" ref="M51">_xlfn.IFS(AND(A51&gt;DA$6,B51&gt;DB$6),0,B51&lt;DB$6,0,B51=DB$6,M$4,AND(B51&gt;DB$6,A51&lt;=DA$4),M50*(1+DH$1),AND(A51&gt;DA$4,B51&gt;DB$6),IF(Y50=0,0,(M50-((M50/Y50)*BY50))*(1+DH$2)))</f>
        <v>0</v>
      </c>
      <c r="N51" s="327"/>
      <c r="O51" s="327" cm="1">
        <f t="array" ref="O51">_xlfn.IFS(OR(ISBLANK(Setup!C$63),Setup!C$63&gt;YEAR(C51),AND(A51&gt;DA$6,B51&gt;DB$6),ISBLANK(Y50)),0,Setup!C$63=YEAR(C51),Setup!C$62,AND(OR(A51&lt;=DA$4,B51&lt;=DB$4),Setup!C$63&lt;YEAR(C51)),O50*(1+DH$1),AND(A51&gt;DA$4,B51&gt;DB$4,Setup!C$63&lt;YEAR(C51)),IF(Y50=0,0,(O50-((O50/Y50)*BY50))*(1+DH$2)))</f>
        <v>0</v>
      </c>
      <c r="P51" s="327" cm="1">
        <f t="array" ref="P51">_xlfn.IFS(OR(ISBLANK(Setup!C$67),Setup!C$67&gt;YEAR(C51),AND(A51&gt;DA$6,B51&gt;DB$6)),0,Setup!C$67=YEAR(C51),Setup!C$66,AND(OR(A51&lt;=DA$4,B51&lt;=DB$4),Setup!C$67&lt;YEAR(C51)),P50*(1+DH$1),AND(A51&gt;DA$4,B51&gt;DB$4,Setup!C$67&lt;YEAR(C51)),IF(Y50=0,0,(P50-((P50/Y50)*BY50))*(1+DH$2)))</f>
        <v>0</v>
      </c>
      <c r="Q51" s="327" cm="1">
        <f t="array" ref="Q51">_xlfn.IFS(OR(ISBLANK(Setup!C$71),Setup!C$71&gt;YEAR(C51),AND(A51&gt;DA$6,B51&gt;DB$6)),0,Setup!C$71=YEAR(C51),Setup!C$70,AND(OR(A51&lt;=DA$4,B51&lt;=DB$4),Setup!C$71&lt;YEAR(C51)),Q50*(1+DH$1),AND(A51&gt;DA$4,B51&gt;DB$4,Setup!C$71&lt;YEAR(C51)),IF(Y50=0,0,(Q50-((Q50/Y50)*BY50))*(1+DH$2)))</f>
        <v>0</v>
      </c>
      <c r="R51" s="327" cm="1">
        <f t="array" ref="R51">_xlfn.IFS(OR(ISBLANK(Setup!C$75),Setup!C$75&gt;YEAR(C51),AND(A51&gt;DA$6,B51&gt;DB$6)),0,Setup!C$75=YEAR(C51),Setup!C$74,AND(OR(A51&lt;=DA$4,B51&lt;=DB$4),Setup!C$75&lt;YEAR(C51)),R50*(1+DH$1),AND(A51&gt;DA$4,B51&gt;DB$4,Setup!C$75&lt;YEAR(C51)),IF(Y50=0,0,(R50-((R50/Y50)*BY50))*(1+DH$2)))</f>
        <v>0</v>
      </c>
      <c r="S51" s="327"/>
      <c r="T51" s="326" cm="1">
        <f t="array" ref="T51">_xlfn.IFS(AND($A51&gt;$DA$6,$B51&gt;$DB$6),0,AND($W$2=$DA$2,$A51&gt;$DA$4),IF($Y50=0,0,(T50-((T50/$Y50)*$BY50))*(1+$DH$2)),AND($W$2=$DB$2,$B51&gt;$DB$4),IF($Y50=0,0,(T50-((T50/$Y50)*$BY50))*(1+$DH$2)),AND($W$2=$DA$2,OR($A51&gt;$DA$3,$A51&gt;$DA$6)),(T50*(1+$DH$1)),AND($W$2=$DB$2,OR($B51&gt;$DB$3,$B51&gt;$DB$6)),(T50*(1+$DH$1)),AND($W$2=$DA$2,$A51&lt;=$DA$3,$A51&lt;=$DA$4,$A51&lt;=$DA$5),(T50*(1+$DH$1))+(T$4),AND($W$2=$DB$2,$B51&lt;=$DB$3,$B51&lt;=$DB$4,$B51&lt;=$DB$5),(T50*(1+$DH$1))+(T$4))</f>
        <v>0</v>
      </c>
      <c r="U51" s="326" cm="1">
        <f t="array" ref="U51">_xlfn.IFS(AND($A51&gt;$DA$6,$B51&gt;$DB$6),0,AND($W$2=$DA$2,$A51&gt;$DA$4),IF($Y50=0,0,(U50-((U50/$Y50)*$BY50))*(1+$DH$2)),AND($W$2=$DB$2,$B51&gt;$DB$4),IF($Y50=0,0,(U50-((U50/$Y50)*$BY50))*(1+$DH$2)),AND($W$2=$DA$2,OR($A51&gt;$DA$3,$A51&gt;$DA$6)),(U50*(1+$DH$1)),AND($W$2=$DB$2,OR($B51&gt;$DB$3,$B51&gt;$DB$6)),(U50*(1+$DH$1)),AND($W$2=$DA$2,$A51&lt;=$DA$3,$A51&lt;=$DA$4,$A51&lt;=$DA$5),(U50*(1+$DH$1))+(U$4),AND($W$2=$DB$2,$B51&lt;=$DB$3,$B51&lt;=$DB$4,$B51&lt;=$DB$5),(U50*(1+$DH$1))+(U$4))</f>
        <v>0</v>
      </c>
      <c r="V51" s="326" cm="1">
        <f t="array" ref="V51">_xlfn.IFS(AND($A51&gt;$DA$6,$B51&gt;$DB$6),0,AND($W$2=$DA$2,$A51&gt;$DA$4),IF($Y50=0,0,(V50-((V50/$Y50)*$BY50))*(1+$DH$2)),AND($W$2=$DB$2,$B51&gt;$DB$4),IF($Y50=0,0,(V50-((V50/$Y50)*$BY50))*(1+$DH$2)),AND($W$2=$DA$2,OR($A51&gt;$DA$3,$A51&gt;$DA$6)),(V50*(1+$DH$1)),AND($W$2=$DB$2,OR($B51&gt;$DB$3,$B51&gt;$DB$6)),(V50*(1+$DH$1)),AND($W$2=$DA$2,$A51&lt;=$DA$3,$A51&lt;=$DA$4,$A51&lt;=$DA$5),(V50*(1+$DH$1))+(V$4),AND($W$2=$DB$2,$B51&lt;=$DB$3,$B51&lt;=$DB$4,$B51&lt;=$DB$5),(V50*(1+$DH$1))+(V$4))</f>
        <v>0</v>
      </c>
      <c r="W51" s="326" cm="1">
        <f t="array" ref="W51">_xlfn.IFS(AND($A51&gt;$DA$6,$B51&gt;$DB$6),0,AND($W$2=$DA$2,$A51&gt;$DA$4),IF($Y50=0,0,(W50-((W50/$Y50)*$BY50))*(1+$DH$2)),AND($W$2=$DB$2,$B51&gt;$DB$4),IF($Y50=0,0,(W50-((W50/$Y50)*$BY50))*(1+$DH$2)),AND($W$2=$DA$2,OR($A51&gt;$DA$3,$A51&gt;$DA$6)),(W50*(1+$DH$1)),AND($W$2=$DB$2,OR($B51&gt;$DB$3,$B51&gt;$DB$6)),(W50*(1+$DH$1)),AND($W$2=$DA$2,$A51&lt;=$DA$3,$A51&lt;=$DA$4,$A51&lt;=$DA$5),(W50*(1+$DH$1))+(W$4),AND($W$2=$DB$2,$B51&lt;=$DB$3,$B51&lt;=$DB$4,$B51&lt;=$DB$5),(W50*(1+$DH$1))+(W$4))</f>
        <v>0</v>
      </c>
      <c r="Y51" s="1">
        <f t="shared" si="47"/>
        <v>0</v>
      </c>
      <c r="Z51" s="2">
        <f t="shared" si="37"/>
        <v>0</v>
      </c>
      <c r="AA51" s="375"/>
      <c r="AC51" s="326" cm="1">
        <f t="array" ref="AC51">_xlfn.IFS(AND(A51&gt;DA$6,B51&gt;DB$6),0,AND(A51&gt;DA$4,B51&gt;DB$4),IF(AG50=0,0,(AC50-((AC50/AG50)*CA50))*(1+DH$2)),OR(A51&gt;DA$3,A51&gt;DA$6),AC50*(1+DH$1),A51&gt;DA$4,(AC50-CA50)*(1+DH$2),AND(A51&lt;=DA$3,A51&lt;=DA$4,A51&lt;=DA$6),(AC50*(1+DH$1))+(AC$4))</f>
        <v>0</v>
      </c>
      <c r="AD51" s="375"/>
      <c r="AE51" s="326" cm="1">
        <f t="array" ref="AE51">_xlfn.IFS(AND(A51&gt;DA$6,B51&gt;DB$6),0,AND(A51&gt;DA$4,B51&gt;DB$4),IF(AG50=0,0,(AE50-((AE50/AG50)*CA50))*(1+DH$2)),OR(B51&gt;DB$3,B51&gt;DB$6),AE50*(1+DH$1),B51&gt;DB$4,(AE50-CA50)*(1+DH$2),AND(B51&lt;=DB$3,B51&lt;=DB$4,B51&lt;=DB$6),(AE50*(1+DH$1))+(AE$4))</f>
        <v>0</v>
      </c>
      <c r="AF51" s="375"/>
      <c r="AG51" s="1">
        <f t="shared" si="61"/>
        <v>0</v>
      </c>
      <c r="AH51" s="2">
        <f t="shared" si="48"/>
        <v>0</v>
      </c>
      <c r="AI51" s="14">
        <f t="shared" si="38"/>
        <v>0</v>
      </c>
      <c r="AK51" s="1">
        <f t="shared" si="49"/>
        <v>0</v>
      </c>
      <c r="AL51" s="14">
        <f t="shared" si="39"/>
        <v>0</v>
      </c>
      <c r="AM51" s="14" t="str">
        <f t="shared" si="23"/>
        <v/>
      </c>
      <c r="AO51" s="15">
        <f t="shared" si="40"/>
        <v>0</v>
      </c>
      <c r="AP51" s="1">
        <f>IF(AND(B51&gt;=$DB$6,A51&gt;=$DA$6),0,AP50*(1+Lookups!C$12))</f>
        <v>0</v>
      </c>
      <c r="AQ51" s="1">
        <f>IF(AND(B51&gt;=$DB$6,A51&gt;=$DA$6),0,AQ50*(1+Lookups!C$12))</f>
        <v>0</v>
      </c>
      <c r="AS51" s="1" cm="1">
        <f t="array" ref="AS51">_xlfn.IFS(OR(AS$6="",AND(A51&gt;=DA$6,B51&gt;=DB$6),AND(A51&lt;DA$4,B51&lt;DB$4)),0,AND(A51=DA$4,DA$4&lt;=DB$4),AS$6,AND(B51=DB$4,DA$4&gt;=DB$4),AS$6,OR(A51&gt;DA$4,B51&gt;DB$4),AS50*(1+Setup!C$103))</f>
        <v>0</v>
      </c>
      <c r="AT51" s="1" cm="1">
        <f t="array" ref="AT51">_xlfn.IFS(OR(AT$6="",AND(A51&gt;=DA$6,B51&gt;=DB$6),AND(A51&lt;DA$4,B51&lt;DB$4)),0,AND(A51=DA$4,DA$4&lt;=DB$4),AT$6,AND(B51=DB$4,DA$4&gt;=DB$4),AT$6,OR(A51&gt;DA$4,B51&gt;DB$4),AT50*(1+Setup!C$103))</f>
        <v>0</v>
      </c>
      <c r="AU51" s="1" cm="1">
        <f t="array" ref="AU51">_xlfn.IFS(OR(AU$6="",AND(A51&gt;=DA$6,B51&gt;=DB$6),AND(A51&lt;DA$4,B51&lt;DB$4)),0,AND(A51=DA$4,DA$4&lt;=DB$4),AU$6,AND(B51=DB$4,DA$4&gt;=DB$4),AU$6,OR(A51&gt;DA$4,B51&gt;DB$4),AU50*(1+Setup!C$103))</f>
        <v>0</v>
      </c>
      <c r="AV51" s="1" cm="1">
        <f t="array" ref="AV51">_xlfn.IFS(OR(AV$6="",AND(A51&gt;=DA$6,B51&gt;=DB$6),AND(A51&lt;DA$4,B51&lt;DB$4)),0,AND(A51=DA$4,DA$4&lt;=DB$4),AV$6,AND(B51=DB$4,DA$4&gt;=DB$4),AV$6,OR(A51&gt;DA$4,B51&gt;DB$4),AV50*(1+Setup!C$103))</f>
        <v>0</v>
      </c>
      <c r="AW51" s="1">
        <f t="shared" si="41"/>
        <v>0</v>
      </c>
      <c r="AY51" s="1" cm="1">
        <f t="array" ref="AY51">_xlfn.IFS(OR(AND(A51&gt;=DA$6,B51&gt;=DB$6),A51&lt;DA$5),0,AND(A51=DA$5,YEAR(C51)&gt;=Lookups!D$89),VLOOKUP(A51,Lookups!B$94:F$102,3),AND(A51=DA$5,YEAR(C51)&lt;Lookups!D$89),VLOOKUP(A51,Lookups!B$94:F$102,2),AND(A51&gt;DA$5,YEAR(C51)=Lookups!D$89),(AY50*Lookups!D$90)*(1+Lookups!C$20),AND(A51&gt;DA$5,YEAR(C51)&lt;&gt;Lookups!D$89),AY50*(1+Lookups!C$20))</f>
        <v>0</v>
      </c>
      <c r="AZ51" s="1" cm="1">
        <f t="array" ref="AZ51">_xlfn.IFS(OR(ISBLANK(Setup!K$91),Setup!K$91=0,AND(A51&gt;=DA$6,B51&gt;=DB$6),B51&lt;DB$5),0,AND(B51=DB$5,YEAR(C51)&gt;=Lookups!D$89),VLOOKUP(B51,Lookups!B$94:F$102,5),AND(B51=DB$5,YEAR(C51)&lt;Lookups!D$89),VLOOKUP(B51,Lookups!B$94:F$102,4),AND(B51&gt;DB$5,YEAR(C51)=Lookups!D$89),(AZ50*Lookups!D$90)*(1+Lookups!C$20),AND(B51&gt;DB$5,YEAR(C51)&lt;&gt;Lookups!D$89),AZ50*(1+Lookups!C$20))</f>
        <v>0</v>
      </c>
      <c r="BA51" s="65">
        <f>IF(OR(AY51&gt;0,AZ51&gt;0),(AY51+AZ51)*Lookups!D$120,0)</f>
        <v>0</v>
      </c>
      <c r="BB51" s="1" cm="1">
        <f t="array" ref="BB51">_xlfn.IFS(AND(A51&lt;DA$4,B51&lt;DB$4),0,OR(_xlfn.XOR(A51&gt;DA$6,B51&gt;DB$6),_xlfn.XOR(A51&gt;=DA$4,B51&gt;=DB$4)),IF(AP51-SUM(AW51,AY51:AZ51)&gt;0,AP51-SUM(AW51,AY51:AZ51),0),AQ51-SUM(AW51,AY51:AZ51)&gt;0, AQ51-SUM(AW51,AY51:AZ51),AQ51-SUM(AW51,AY51:AZ51)&lt;=0,0)</f>
        <v>0</v>
      </c>
      <c r="BD51" s="1" cm="1">
        <f t="array" ref="BD51">_xlfn.IFS(AND(A51&gt;=DA$6,B51&gt;=DB$6),0,AND(A51&gt;=DA$6,B51&gt;=Lookups!C$35),D51/VLOOKUP(B51,Lookups!C$37:D$67,2),A51&lt;Lookups!$C$35,0,A51&gt;=Lookups!C$35,D51/VLOOKUP(A51,Lookups!C$37:D$67,2))</f>
        <v>0</v>
      </c>
      <c r="BE51" s="1" cm="1">
        <f t="array" ref="BE51">_xlfn.IFS(AND(A51&gt;=DA$6,B51&gt;=DB$6),0,AND(B51&gt;=DB$6,A51&gt;=Lookups!C$35),F51/VLOOKUP(A51,Lookups!C$37:D$67,2),B51&lt;Lookups!$C$35,0,B51&gt;=Lookups!C$35,F51/VLOOKUP(B51,Lookups!C$37:D$67,2))</f>
        <v>0</v>
      </c>
      <c r="BF51" s="1" cm="1">
        <f t="array" ref="BF51">_xlfn.IFS($BB51&lt;=0,0,AND(A51&gt;=DA$4,B51&gt;=DB$4,$BB51*I51&lt;(BD51+BE51)),0,AND(A51&gt;=DA$4,B51&gt;=DB$4,H51&gt;=(BB51*I51)-BD51-BE51),(BB51*I51)-BD51-BE51,AND(A51&gt;=DA$4,B51&gt;=DB$4,H51&lt;(BB51*I51)-BD51-BE51),H51,AND(A51&gt;=DA$4,$BB51*I51&lt;(BD51)),0,AND(A51&gt;=DA$4,H51&gt;=(BB51*I51)-BD51),(BB51*I51)-BD51,AND(A51&gt;=DA$4,H51&lt;(BB51*I51)-BD51),H51,AND(B51&gt;=DB$4,$BB51*I51&lt;(BE51)),0,AND(B51&gt;=DB$4,H51&gt;=(BB51*I51)-BE51),(BB51*I51)-BE51,AND(B51&gt;=DB$4,H51&lt;(BB51*I51)-BE51),H51)</f>
        <v>0</v>
      </c>
      <c r="BG51" s="1">
        <f t="shared" si="53"/>
        <v>0</v>
      </c>
      <c r="BH51" s="1" cm="1">
        <f t="array" ref="BH51">_xlfn.IFS(OR(D51=0,A51&lt;DA$4),0,AND(A51&gt;=DA$4,B51&gt;=DB$4,D51&lt;BD51+($BF51*(D51/$H51))+(-$BP51*(D51/$H51))),D51,AND(A51&gt;=DA$4,B51&gt;=DB$4,$BB51&gt;$BG51),BD51+($BF51*(D51/$H51))+(-$BP51*(D51/$H51)),AND(A51&gt;=DA$4,B51&gt;=DB$4,OR(A51&gt;DA$6, B51&gt;DB$6),$AP51-SUM($AW51,$AY51:$AZ51)&lt;0),BD51+($BF51*(D51/$H51))+(-$BP51*(D51/$H51))+(BP51*(D51/$H51)),AND(A51&gt;=DA$4,B51&gt;=DB$4,$AQ51-SUM($AW51,$AY51:$AZ51)&lt;0),BD51+($BF51*(D51/$H51))+(-$BP51*(D51/$H51))+(BP51*(D51/$H51)),AND(A51&gt;=DA$4,D51&lt;BD51+$BF51-$BP51),D51,AND(A51&gt;=DA$4,$AP51-SUM($AW51,$AY51:$AZ51)&lt;0),BD51+($BF51*(D51/$H51))+(-$BP51*(D51/$H51))+(BP51*(D51/$H51)),A51&gt;=DA$4,BD51+$BF51-$BP51)</f>
        <v>0</v>
      </c>
      <c r="BI51" s="1" cm="1">
        <f t="array" ref="BI51">_xlfn.IFS(OR(F51=0,B51&lt;DB$4),0,AND(A51&gt;=DA$4,B51&gt;=DB$4,F51&lt;BE51+($BF51*(F51/$H51))+(-$BP51*(F51/$H51))),F51,AND(A51&gt;=DA$4,B51&gt;=DB$4,$BB51&gt;$BG51),BE51+($BF51*(F51/$H51))+(-$BP51*(F51/$H51)),AND(A51&gt;=DA$4,B51&gt;=DB$4,OR(A51&gt;DA$6, B51&gt;DB$6),$AP51-SUM($AW51,$AY51:$AZ51)&lt;0),BE51+($BF51*(F51/$H51))+(-$BP51*(F51/$H51))+(BP51*(F51/$H51)),AND(A51&gt;=DA$4,B51&gt;=DB$4,$AQ51-SUM($AW51,$AY51:$AZ51)&lt;0),BE51+($BF51*(F51/$H51))+(-$BP51*(F51/$H51))+(BP51*(F51/$H51)),AND(B51&gt;=DB$4,F51&lt;BE51+$BF51-$BP51),F51,AND(B51&gt;=DB$4,$AP51-SUM($AW51,$AY51:$AZ51)&lt;0),BE51+($BF51*(F51/$H51))+(-$BP51*(F51/$H51))+(BP51*(F51/$H51)),B51&gt;=DB$4,BE51+$BF51-$BP51)</f>
        <v>0</v>
      </c>
      <c r="BJ51" s="64" cm="1">
        <f t="array" ref="BJ51">IF(AW51+BA51+BG51&gt;0, AW51+BA51+BG51-_xlfn.IFS(AND(A51&gt;=65,B51&gt;=65),VLOOKUP(Setup!I$4,Lookups!C$133:F$136,4),OR(A51&gt;=65,B51&gt;=65),VLOOKUP(Setup!I$4,Lookups!C$133:E$136,3),AND(A51&lt;65,B51&lt;65),VLOOKUP(Setup!I$4,Lookups!C$133:D$136,2)),0)</f>
        <v>0</v>
      </c>
      <c r="BK51" s="1" cm="1">
        <f t="array" ref="BK51">IF(BJ51&gt;0,_xlfn.IFS(Setup!I$4=Lookups!D$109,-_xlfn.IFS($BJ51&gt;=Lookups!D$157, Lookups!F$157+($BJ51-Lookups!D$157)*Lookups!G$157,$BJ51&gt;=Lookups!D$156, Lookups!F$156+($BJ51-Lookups!D$156)*Lookups!G$156,$BJ51&gt;=Lookups!D$155, Lookups!F$155+($BJ51-Lookups!D$155)*Lookups!G$155,$BJ51&gt;=Lookups!D$154, Lookups!F$154+($BJ51-Lookups!D$154)*Lookups!G$154,$BJ51&gt;=Lookups!D$153, Lookups!F$153+($BJ51-Lookups!D$153)*Lookups!G$153,$BJ51&gt;=Lookups!D$152, Lookups!F$152+($BJ51-Lookups!D$152)*Lookups!G$152,$BJ51&lt;Lookups!D$152,$BJ51*Lookups!G$151),Setup!I$4=Lookups!D$110,-_xlfn.IFS($BJ51&gt;=Lookups!D$167, Lookups!F$167+($BJ51-Lookups!D$167)*Lookups!G$167,$BJ51&gt;=Lookups!D$166, Lookups!F$166+($BJ51-Lookups!D$166)*Lookups!G$166,$BJ51&gt;=Lookups!D$165, Lookups!F$165+($BJ51-Lookups!D$165)*Lookups!G$165,$BJ51&gt;=Lookups!D$164, Lookups!F$164+($BJ51-Lookups!D$164)*Lookups!G$164,$BJ51&gt;=Lookups!D$163, Lookups!F$163+($BJ51-Lookups!D$163)*Lookups!G$163,$BJ51&gt;=Lookups!D$162, Lookups!F$162+($BJ51-Lookups!D$162)*Lookups!G$162,$BJ51&lt;Lookups!D$162,$BJ51*Lookups!G$161),Setup!I$4=Lookups!D$111,-_xlfn.IFS($BJ51&gt;=Lookups!D$177, Lookups!F$177+($BJ51-Lookups!D$177)*Lookups!G$177,$BJ51&gt;=Lookups!D$176, Lookups!F$176+($BJ51-Lookups!D$176)*Lookups!G$176,$BJ51&gt;=Lookups!D$175, Lookups!F$175+($BJ51-Lookups!D$175)*Lookups!G$175,$BJ51&gt;=Lookups!D$174, Lookups!F$174+($BJ51-Lookups!D$174)*Lookups!G$174,$BJ51&gt;=Lookups!D$173, Lookups!F$173+($BJ51-Lookups!D$173)*Lookups!G$173,$BJ51&gt;=Lookups!D$172, Lookups!F$172+($BJ51-Lookups!D$172)*Lookups!G$172,$BJ51&lt;Lookups!D$172,$BJ51*Lookups!G$171), Setup!I$4=Lookups!D$112,-_xlfn.IFS($BJ51&gt;=Lookups!D$187, Lookups!F$187+($BJ51-Lookups!D$187)*Lookups!G$187,$BJ51&gt;=Lookups!D$186, Lookups!F$186+($BJ51-Lookups!D$186)*Lookups!G$186,$BJ51&gt;=Lookups!D$185, Lookups!F$185+($BJ51-Lookups!D$185)*Lookups!G$185,$BJ51&gt;=Lookups!D$184, Lookups!F$184+($BJ51-Lookups!D$184)*Lookups!G$184,$BJ51&gt;=Lookups!D$183, Lookups!F$183+($BJ51-Lookups!D$183)*Lookups!G$183,$BJ51&gt;=Lookups!D$182, Lookups!F$182+($BJ51-Lookups!D$182)*Lookups!G$182,$BJ51&lt;Lookups!D$182,$BJ51*Lookups!G$181)),0)</f>
        <v>0</v>
      </c>
      <c r="BL51" s="18">
        <f t="shared" si="54"/>
        <v>0</v>
      </c>
      <c r="BM51" s="134">
        <f t="shared" si="55"/>
        <v>0</v>
      </c>
      <c r="BN51" s="134" cm="1">
        <f t="array" aca="1" ref="BN51" ca="1">INDIRECT(Setup!I$6&amp;"!"&amp;"A"&amp;ROW())</f>
        <v>0</v>
      </c>
      <c r="BO51" s="134">
        <f t="shared" si="56"/>
        <v>0</v>
      </c>
      <c r="BP51" s="1">
        <f t="shared" si="57"/>
        <v>0</v>
      </c>
      <c r="BQ51" s="1">
        <f t="shared" si="58"/>
        <v>0</v>
      </c>
      <c r="BS51" s="1">
        <f t="shared" si="50"/>
        <v>0</v>
      </c>
      <c r="BT51" s="1" cm="1">
        <f t="array" ref="BT51">-IF(BS51&gt;0,_xlfn.IFS((AW51+BA51+BG51+BS51)&gt;=VLOOKUP(Setup!I$4,Lookups!C$210:E$213,3),BS51*Lookups!D$203,(AW51+BA51+BG51+BS51)&gt;=VLOOKUP(Setup!I$4,Lookups!C$210:E$213,2),BS51*Lookups!D$197,(AW51+BA51+BG51+BS51)&lt;VLOOKUP(Setup!I$4,Lookups!C$210:E$213,2),0),0)</f>
        <v>0</v>
      </c>
      <c r="BU51" s="18">
        <f t="shared" si="51"/>
        <v>0</v>
      </c>
      <c r="BV51" s="1">
        <f t="shared" si="52"/>
        <v>0</v>
      </c>
      <c r="BW51" s="1" cm="1">
        <f t="array" aca="1" ref="BW51" ca="1">INDIRECT(Setup!I$6&amp;"!"&amp;"A"&amp;ROW()+100)</f>
        <v>0</v>
      </c>
      <c r="BX51" s="1">
        <f t="shared" ca="1" si="44"/>
        <v>0</v>
      </c>
      <c r="BY51" s="1">
        <f t="shared" ca="1" si="45"/>
        <v>0</v>
      </c>
      <c r="CA51" s="1">
        <f t="shared" si="59"/>
        <v>0</v>
      </c>
      <c r="CC51" s="1" cm="1">
        <f t="array" ref="CC51">_xlfn.IFS(AND(A51&lt;$DA$4,B51&lt;$DB$4),0,AND(AND(A51&gt;=$DA$4,B51&gt;=$DB$4),AND(A51&lt;=$DA$6,B51&lt;=$DB$6),AND(BH51=0,BI51=0)),SUM(AW51,AY51:AZ51,BD51:BF51,BP51,BS51,CA51)-AQ51,AND(AND(A51&gt;=$DA$4,B51&gt;=$DB$4),AND(A51&lt;=$DA$6,B51&lt;=$DB$6)),SUM(AW51,AY51:AZ51,BD51:BF51,BS51,CA51)-AQ51,AND(OR(A51&gt;=$DA$4,B51&gt;=$DB$4),AND(BH51=0,BI51=0)),SUM(AW51,AY51:AZ51,BD51:BF51,BP51,BS51,CA51)-AP51,OR(A51&gt;=$DA$4,B51&gt;=$DB$4),SUM(AW51,AY51:AZ51,BD51:BF51,BS51,CA51)-AP51)</f>
        <v>0</v>
      </c>
      <c r="CD51" s="142" t="str">
        <f t="shared" si="30"/>
        <v/>
      </c>
    </row>
    <row r="52" spans="1:82" x14ac:dyDescent="0.3">
      <c r="A52" s="354">
        <f t="shared" ref="A52:A67" si="62">A51+1</f>
        <v>45</v>
      </c>
      <c r="B52" s="354">
        <f t="shared" ref="B52:B67" si="63">B51+1</f>
        <v>45</v>
      </c>
      <c r="C52" s="359">
        <f t="shared" si="33"/>
        <v>16438</v>
      </c>
      <c r="D52" s="326" cm="1">
        <f t="array" ref="D52">_xlfn.IFS(AND(A52&gt;DA$6,B52&gt;DB$6),0,AND(A52&gt;DA$3,A52&lt;=DA$4),D51*(1+DH$1),OR(A52&gt;DA$6,A52&gt;DA$4),(D51-BH51)*(1+DH$2),A52&lt;=DA$4,(D51*(1+DH$1))+(D$4))</f>
        <v>0</v>
      </c>
      <c r="E52" s="375"/>
      <c r="F52" s="326" cm="1">
        <f t="array" ref="F52">_xlfn.IFS(AND(A52&gt;DA$6,B52&gt;DB$6),0,AND(B52&gt;DB$3,B52&lt;=DB$4),F51*(1+DH$1),OR(B52&gt;DB$6,B52&gt;DB$4),(F51-BI51)*(1+DH$2),B52&lt;=DB$4,(F51*(1+DH$1))+(F$4))</f>
        <v>0</v>
      </c>
      <c r="G52" s="375"/>
      <c r="H52" s="1">
        <f t="shared" si="60"/>
        <v>0</v>
      </c>
      <c r="I52" s="2">
        <f t="shared" si="36"/>
        <v>0</v>
      </c>
      <c r="J52" s="14">
        <f t="shared" ref="J52:J76" si="64">SUM(E52,G52)</f>
        <v>0</v>
      </c>
      <c r="L52" s="402" cm="1">
        <f t="array" ref="L52">_xlfn.IFS(AND(A52&gt;DA$6,B52&gt;DB$6),0,A52&lt;DA$6,0,A52=DA$6,L$4,AND(A52&gt;DA$6,B52&lt;=DB$4),L51*(1+DH$1),AND(A52&gt;DA$6,B52&gt;DB$4),IF(Y51=0,0,(L51-((L51/Y51)*BY51))*(1+DH$2)))</f>
        <v>0</v>
      </c>
      <c r="M52" s="402" cm="1">
        <f t="array" ref="M52">_xlfn.IFS(AND(A52&gt;DA$6,B52&gt;DB$6),0,B52&lt;DB$6,0,B52=DB$6,M$4,AND(B52&gt;DB$6,A52&lt;=DA$4),M51*(1+DH$1),AND(A52&gt;DA$4,B52&gt;DB$6),IF(Y51=0,0,(M51-((M51/Y51)*BY51))*(1+DH$2)))</f>
        <v>0</v>
      </c>
      <c r="N52" s="327"/>
      <c r="O52" s="327" cm="1">
        <f t="array" ref="O52">_xlfn.IFS(OR(ISBLANK(Setup!C$63),Setup!C$63&gt;YEAR(C52),AND(A52&gt;DA$6,B52&gt;DB$6),ISBLANK(Y51)),0,Setup!C$63=YEAR(C52),Setup!C$62,AND(OR(A52&lt;=DA$4,B52&lt;=DB$4),Setup!C$63&lt;YEAR(C52)),O51*(1+DH$1),AND(A52&gt;DA$4,B52&gt;DB$4,Setup!C$63&lt;YEAR(C52)),IF(Y51=0,0,(O51-((O51/Y51)*BY51))*(1+DH$2)))</f>
        <v>0</v>
      </c>
      <c r="P52" s="327" cm="1">
        <f t="array" ref="P52">_xlfn.IFS(OR(ISBLANK(Setup!C$67),Setup!C$67&gt;YEAR(C52),AND(A52&gt;DA$6,B52&gt;DB$6)),0,Setup!C$67=YEAR(C52),Setup!C$66,AND(OR(A52&lt;=DA$4,B52&lt;=DB$4),Setup!C$67&lt;YEAR(C52)),P51*(1+DH$1),AND(A52&gt;DA$4,B52&gt;DB$4,Setup!C$67&lt;YEAR(C52)),IF(Y51=0,0,(P51-((P51/Y51)*BY51))*(1+DH$2)))</f>
        <v>0</v>
      </c>
      <c r="Q52" s="327" cm="1">
        <f t="array" ref="Q52">_xlfn.IFS(OR(ISBLANK(Setup!C$71),Setup!C$71&gt;YEAR(C52),AND(A52&gt;DA$6,B52&gt;DB$6)),0,Setup!C$71=YEAR(C52),Setup!C$70,AND(OR(A52&lt;=DA$4,B52&lt;=DB$4),Setup!C$71&lt;YEAR(C52)),Q51*(1+DH$1),AND(A52&gt;DA$4,B52&gt;DB$4,Setup!C$71&lt;YEAR(C52)),IF(Y51=0,0,(Q51-((Q51/Y51)*BY51))*(1+DH$2)))</f>
        <v>0</v>
      </c>
      <c r="R52" s="327" cm="1">
        <f t="array" ref="R52">_xlfn.IFS(OR(ISBLANK(Setup!C$75),Setup!C$75&gt;YEAR(C52),AND(A52&gt;DA$6,B52&gt;DB$6)),0,Setup!C$75=YEAR(C52),Setup!C$74,AND(OR(A52&lt;=DA$4,B52&lt;=DB$4),Setup!C$75&lt;YEAR(C52)),R51*(1+DH$1),AND(A52&gt;DA$4,B52&gt;DB$4,Setup!C$75&lt;YEAR(C52)),IF(Y51=0,0,(R51-((R51/Y51)*BY51))*(1+DH$2)))</f>
        <v>0</v>
      </c>
      <c r="S52" s="327"/>
      <c r="T52" s="326" cm="1">
        <f t="array" ref="T52">_xlfn.IFS(AND($A52&gt;$DA$6,$B52&gt;$DB$6),0,AND($W$2=$DA$2,$A52&gt;$DA$4),IF($Y51=0,0,(T51-((T51/$Y51)*$BY51))*(1+$DH$2)),AND($W$2=$DB$2,$B52&gt;$DB$4),IF($Y51=0,0,(T51-((T51/$Y51)*$BY51))*(1+$DH$2)),AND($W$2=$DA$2,OR($A52&gt;$DA$3,$A52&gt;$DA$6)),(T51*(1+$DH$1)),AND($W$2=$DB$2,OR($B52&gt;$DB$3,$B52&gt;$DB$6)),(T51*(1+$DH$1)),AND($W$2=$DA$2,$A52&lt;=$DA$3,$A52&lt;=$DA$4,$A52&lt;=$DA$5),(T51*(1+$DH$1))+(T$4),AND($W$2=$DB$2,$B52&lt;=$DB$3,$B52&lt;=$DB$4,$B52&lt;=$DB$5),(T51*(1+$DH$1))+(T$4))</f>
        <v>0</v>
      </c>
      <c r="U52" s="326" cm="1">
        <f t="array" ref="U52">_xlfn.IFS(AND($A52&gt;$DA$6,$B52&gt;$DB$6),0,AND($W$2=$DA$2,$A52&gt;$DA$4),IF($Y51=0,0,(U51-((U51/$Y51)*$BY51))*(1+$DH$2)),AND($W$2=$DB$2,$B52&gt;$DB$4),IF($Y51=0,0,(U51-((U51/$Y51)*$BY51))*(1+$DH$2)),AND($W$2=$DA$2,OR($A52&gt;$DA$3,$A52&gt;$DA$6)),(U51*(1+$DH$1)),AND($W$2=$DB$2,OR($B52&gt;$DB$3,$B52&gt;$DB$6)),(U51*(1+$DH$1)),AND($W$2=$DA$2,$A52&lt;=$DA$3,$A52&lt;=$DA$4,$A52&lt;=$DA$5),(U51*(1+$DH$1))+(U$4),AND($W$2=$DB$2,$B52&lt;=$DB$3,$B52&lt;=$DB$4,$B52&lt;=$DB$5),(U51*(1+$DH$1))+(U$4))</f>
        <v>0</v>
      </c>
      <c r="V52" s="326" cm="1">
        <f t="array" ref="V52">_xlfn.IFS(AND($A52&gt;$DA$6,$B52&gt;$DB$6),0,AND($W$2=$DA$2,$A52&gt;$DA$4),IF($Y51=0,0,(V51-((V51/$Y51)*$BY51))*(1+$DH$2)),AND($W$2=$DB$2,$B52&gt;$DB$4),IF($Y51=0,0,(V51-((V51/$Y51)*$BY51))*(1+$DH$2)),AND($W$2=$DA$2,OR($A52&gt;$DA$3,$A52&gt;$DA$6)),(V51*(1+$DH$1)),AND($W$2=$DB$2,OR($B52&gt;$DB$3,$B52&gt;$DB$6)),(V51*(1+$DH$1)),AND($W$2=$DA$2,$A52&lt;=$DA$3,$A52&lt;=$DA$4,$A52&lt;=$DA$5),(V51*(1+$DH$1))+(V$4),AND($W$2=$DB$2,$B52&lt;=$DB$3,$B52&lt;=$DB$4,$B52&lt;=$DB$5),(V51*(1+$DH$1))+(V$4))</f>
        <v>0</v>
      </c>
      <c r="W52" s="326" cm="1">
        <f t="array" ref="W52">_xlfn.IFS(AND($A52&gt;$DA$6,$B52&gt;$DB$6),0,AND($W$2=$DA$2,$A52&gt;$DA$4),IF($Y51=0,0,(W51-((W51/$Y51)*$BY51))*(1+$DH$2)),AND($W$2=$DB$2,$B52&gt;$DB$4),IF($Y51=0,0,(W51-((W51/$Y51)*$BY51))*(1+$DH$2)),AND($W$2=$DA$2,OR($A52&gt;$DA$3,$A52&gt;$DA$6)),(W51*(1+$DH$1)),AND($W$2=$DB$2,OR($B52&gt;$DB$3,$B52&gt;$DB$6)),(W51*(1+$DH$1)),AND($W$2=$DA$2,$A52&lt;=$DA$3,$A52&lt;=$DA$4,$A52&lt;=$DA$5),(W51*(1+$DH$1))+(W$4),AND($W$2=$DB$2,$B52&lt;=$DB$3,$B52&lt;=$DB$4,$B52&lt;=$DB$5),(W51*(1+$DH$1))+(W$4))</f>
        <v>0</v>
      </c>
      <c r="Y52" s="1">
        <f t="shared" si="47"/>
        <v>0</v>
      </c>
      <c r="Z52" s="2">
        <f t="shared" si="37"/>
        <v>0</v>
      </c>
      <c r="AA52" s="375"/>
      <c r="AC52" s="326" cm="1">
        <f t="array" ref="AC52">_xlfn.IFS(AND(A52&gt;DA$6,B52&gt;DB$6),0,AND(A52&gt;DA$4,B52&gt;DB$4),IF(AG51=0,0,(AC51-((AC51/AG51)*CA51))*(1+DH$2)),OR(A52&gt;DA$3,A52&gt;DA$6),AC51*(1+DH$1),A52&gt;DA$4,(AC51-CA51)*(1+DH$2),AND(A52&lt;=DA$3,A52&lt;=DA$4,A52&lt;=DA$6),(AC51*(1+DH$1))+(AC$4))</f>
        <v>0</v>
      </c>
      <c r="AD52" s="375"/>
      <c r="AE52" s="326" cm="1">
        <f t="array" ref="AE52">_xlfn.IFS(AND(A52&gt;DA$6,B52&gt;DB$6),0,AND(A52&gt;DA$4,B52&gt;DB$4),IF(AG51=0,0,(AE51-((AE51/AG51)*CA51))*(1+DH$2)),OR(B52&gt;DB$3,B52&gt;DB$6),AE51*(1+DH$1),B52&gt;DB$4,(AE51-CA51)*(1+DH$2),AND(B52&lt;=DB$3,B52&lt;=DB$4,B52&lt;=DB$6),(AE51*(1+DH$1))+(AE$4))</f>
        <v>0</v>
      </c>
      <c r="AF52" s="375"/>
      <c r="AG52" s="1">
        <f t="shared" si="61"/>
        <v>0</v>
      </c>
      <c r="AH52" s="2">
        <f t="shared" si="48"/>
        <v>0</v>
      </c>
      <c r="AI52" s="14">
        <f t="shared" si="38"/>
        <v>0</v>
      </c>
      <c r="AK52" s="1">
        <f t="shared" si="49"/>
        <v>0</v>
      </c>
      <c r="AL52" s="14">
        <f t="shared" si="39"/>
        <v>0</v>
      </c>
      <c r="AM52" s="14" t="str">
        <f t="shared" si="23"/>
        <v/>
      </c>
      <c r="AO52" s="15">
        <f t="shared" si="40"/>
        <v>0</v>
      </c>
      <c r="AP52" s="1">
        <f>IF(AND(B52&gt;=$DB$6,A52&gt;=$DA$6),0,AP51*(1+Lookups!C$12))</f>
        <v>0</v>
      </c>
      <c r="AQ52" s="1">
        <f>IF(AND(B52&gt;=$DB$6,A52&gt;=$DA$6),0,AQ51*(1+Lookups!C$12))</f>
        <v>0</v>
      </c>
      <c r="AS52" s="1" cm="1">
        <f t="array" ref="AS52">_xlfn.IFS(OR(AS$6="",AND(A52&gt;=DA$6,B52&gt;=DB$6),AND(A52&lt;DA$4,B52&lt;DB$4)),0,AND(A52=DA$4,DA$4&lt;=DB$4),AS$6,AND(B52=DB$4,DA$4&gt;=DB$4),AS$6,OR(A52&gt;DA$4,B52&gt;DB$4),AS51*(1+Setup!C$103))</f>
        <v>0</v>
      </c>
      <c r="AT52" s="1" cm="1">
        <f t="array" ref="AT52">_xlfn.IFS(OR(AT$6="",AND(A52&gt;=DA$6,B52&gt;=DB$6),AND(A52&lt;DA$4,B52&lt;DB$4)),0,AND(A52=DA$4,DA$4&lt;=DB$4),AT$6,AND(B52=DB$4,DA$4&gt;=DB$4),AT$6,OR(A52&gt;DA$4,B52&gt;DB$4),AT51*(1+Setup!C$103))</f>
        <v>0</v>
      </c>
      <c r="AU52" s="1" cm="1">
        <f t="array" ref="AU52">_xlfn.IFS(OR(AU$6="",AND(A52&gt;=DA$6,B52&gt;=DB$6),AND(A52&lt;DA$4,B52&lt;DB$4)),0,AND(A52=DA$4,DA$4&lt;=DB$4),AU$6,AND(B52=DB$4,DA$4&gt;=DB$4),AU$6,OR(A52&gt;DA$4,B52&gt;DB$4),AU51*(1+Setup!C$103))</f>
        <v>0</v>
      </c>
      <c r="AV52" s="1" cm="1">
        <f t="array" ref="AV52">_xlfn.IFS(OR(AV$6="",AND(A52&gt;=DA$6,B52&gt;=DB$6),AND(A52&lt;DA$4,B52&lt;DB$4)),0,AND(A52=DA$4,DA$4&lt;=DB$4),AV$6,AND(B52=DB$4,DA$4&gt;=DB$4),AV$6,OR(A52&gt;DA$4,B52&gt;DB$4),AV51*(1+Setup!C$103))</f>
        <v>0</v>
      </c>
      <c r="AW52" s="1">
        <f t="shared" si="41"/>
        <v>0</v>
      </c>
      <c r="AY52" s="1" cm="1">
        <f t="array" ref="AY52">_xlfn.IFS(OR(AND(A52&gt;=DA$6,B52&gt;=DB$6),A52&lt;DA$5),0,AND(A52=DA$5,YEAR(C52)&gt;=Lookups!D$89),VLOOKUP(A52,Lookups!B$94:F$102,3),AND(A52=DA$5,YEAR(C52)&lt;Lookups!D$89),VLOOKUP(A52,Lookups!B$94:F$102,2),AND(A52&gt;DA$5,YEAR(C52)=Lookups!D$89),(AY51*Lookups!D$90)*(1+Lookups!C$20),AND(A52&gt;DA$5,YEAR(C52)&lt;&gt;Lookups!D$89),AY51*(1+Lookups!C$20))</f>
        <v>0</v>
      </c>
      <c r="AZ52" s="1" cm="1">
        <f t="array" ref="AZ52">_xlfn.IFS(OR(ISBLANK(Setup!K$91),Setup!K$91=0,AND(A52&gt;=DA$6,B52&gt;=DB$6),B52&lt;DB$5),0,AND(B52=DB$5,YEAR(C52)&gt;=Lookups!D$89),VLOOKUP(B52,Lookups!B$94:F$102,5),AND(B52=DB$5,YEAR(C52)&lt;Lookups!D$89),VLOOKUP(B52,Lookups!B$94:F$102,4),AND(B52&gt;DB$5,YEAR(C52)=Lookups!D$89),(AZ51*Lookups!D$90)*(1+Lookups!C$20),AND(B52&gt;DB$5,YEAR(C52)&lt;&gt;Lookups!D$89),AZ51*(1+Lookups!C$20))</f>
        <v>0</v>
      </c>
      <c r="BA52" s="65">
        <f>IF(OR(AY52&gt;0,AZ52&gt;0),(AY52+AZ52)*Lookups!D$120,0)</f>
        <v>0</v>
      </c>
      <c r="BB52" s="1" cm="1">
        <f t="array" ref="BB52">_xlfn.IFS(AND(A52&lt;DA$4,B52&lt;DB$4),0,OR(_xlfn.XOR(A52&gt;DA$6,B52&gt;DB$6),_xlfn.XOR(A52&gt;=DA$4,B52&gt;=DB$4)),IF(AP52-SUM(AW52,AY52:AZ52)&gt;0,AP52-SUM(AW52,AY52:AZ52),0),AQ52-SUM(AW52,AY52:AZ52)&gt;0, AQ52-SUM(AW52,AY52:AZ52),AQ52-SUM(AW52,AY52:AZ52)&lt;=0,0)</f>
        <v>0</v>
      </c>
      <c r="BD52" s="1" cm="1">
        <f t="array" ref="BD52">_xlfn.IFS(AND(A52&gt;=DA$6,B52&gt;=DB$6),0,AND(A52&gt;=DA$6,B52&gt;=Lookups!C$35),D52/VLOOKUP(B52,Lookups!C$37:D$67,2),A52&lt;Lookups!$C$35,0,A52&gt;=Lookups!C$35,D52/VLOOKUP(A52,Lookups!C$37:D$67,2))</f>
        <v>0</v>
      </c>
      <c r="BE52" s="1" cm="1">
        <f t="array" ref="BE52">_xlfn.IFS(AND(A52&gt;=DA$6,B52&gt;=DB$6),0,AND(B52&gt;=DB$6,A52&gt;=Lookups!C$35),F52/VLOOKUP(A52,Lookups!C$37:D$67,2),B52&lt;Lookups!$C$35,0,B52&gt;=Lookups!C$35,F52/VLOOKUP(B52,Lookups!C$37:D$67,2))</f>
        <v>0</v>
      </c>
      <c r="BF52" s="1" cm="1">
        <f t="array" ref="BF52">_xlfn.IFS($BB52&lt;=0,0,AND(A52&gt;=DA$4,B52&gt;=DB$4,$BB52*I52&lt;(BD52+BE52)),0,AND(A52&gt;=DA$4,B52&gt;=DB$4,H52&gt;=(BB52*I52)-BD52-BE52),(BB52*I52)-BD52-BE52,AND(A52&gt;=DA$4,B52&gt;=DB$4,H52&lt;(BB52*I52)-BD52-BE52),H52,AND(A52&gt;=DA$4,$BB52*I52&lt;(BD52)),0,AND(A52&gt;=DA$4,H52&gt;=(BB52*I52)-BD52),(BB52*I52)-BD52,AND(A52&gt;=DA$4,H52&lt;(BB52*I52)-BD52),H52,AND(B52&gt;=DB$4,$BB52*I52&lt;(BE52)),0,AND(B52&gt;=DB$4,H52&gt;=(BB52*I52)-BE52),(BB52*I52)-BE52,AND(B52&gt;=DB$4,H52&lt;(BB52*I52)-BE52),H52)</f>
        <v>0</v>
      </c>
      <c r="BG52" s="1">
        <f t="shared" si="53"/>
        <v>0</v>
      </c>
      <c r="BH52" s="1" cm="1">
        <f t="array" ref="BH52">_xlfn.IFS(OR(D52=0,A52&lt;DA$4),0,AND(A52&gt;=DA$4,B52&gt;=DB$4,D52&lt;BD52+($BF52*(D52/$H52))+(-$BP52*(D52/$H52))),D52,AND(A52&gt;=DA$4,B52&gt;=DB$4,$BB52&gt;$BG52),BD52+($BF52*(D52/$H52))+(-$BP52*(D52/$H52)),AND(A52&gt;=DA$4,B52&gt;=DB$4,OR(A52&gt;DA$6, B52&gt;DB$6),$AP52-SUM($AW52,$AY52:$AZ52)&lt;0),BD52+($BF52*(D52/$H52))+(-$BP52*(D52/$H52))+(BP52*(D52/$H52)),AND(A52&gt;=DA$4,B52&gt;=DB$4,$AQ52-SUM($AW52,$AY52:$AZ52)&lt;0),BD52+($BF52*(D52/$H52))+(-$BP52*(D52/$H52))+(BP52*(D52/$H52)),AND(A52&gt;=DA$4,D52&lt;BD52+$BF52-$BP52),D52,AND(A52&gt;=DA$4,$AP52-SUM($AW52,$AY52:$AZ52)&lt;0),BD52+($BF52*(D52/$H52))+(-$BP52*(D52/$H52))+(BP52*(D52/$H52)),A52&gt;=DA$4,BD52+$BF52-$BP52)</f>
        <v>0</v>
      </c>
      <c r="BI52" s="1" cm="1">
        <f t="array" ref="BI52">_xlfn.IFS(OR(F52=0,B52&lt;DB$4),0,AND(A52&gt;=DA$4,B52&gt;=DB$4,F52&lt;BE52+($BF52*(F52/$H52))+(-$BP52*(F52/$H52))),F52,AND(A52&gt;=DA$4,B52&gt;=DB$4,$BB52&gt;$BG52),BE52+($BF52*(F52/$H52))+(-$BP52*(F52/$H52)),AND(A52&gt;=DA$4,B52&gt;=DB$4,OR(A52&gt;DA$6, B52&gt;DB$6),$AP52-SUM($AW52,$AY52:$AZ52)&lt;0),BE52+($BF52*(F52/$H52))+(-$BP52*(F52/$H52))+(BP52*(F52/$H52)),AND(A52&gt;=DA$4,B52&gt;=DB$4,$AQ52-SUM($AW52,$AY52:$AZ52)&lt;0),BE52+($BF52*(F52/$H52))+(-$BP52*(F52/$H52))+(BP52*(F52/$H52)),AND(B52&gt;=DB$4,F52&lt;BE52+$BF52-$BP52),F52,AND(B52&gt;=DB$4,$AP52-SUM($AW52,$AY52:$AZ52)&lt;0),BE52+($BF52*(F52/$H52))+(-$BP52*(F52/$H52))+(BP52*(F52/$H52)),B52&gt;=DB$4,BE52+$BF52-$BP52)</f>
        <v>0</v>
      </c>
      <c r="BJ52" s="64" cm="1">
        <f t="array" ref="BJ52">IF(AW52+BA52+BG52&gt;0, AW52+BA52+BG52-_xlfn.IFS(AND(A52&gt;=65,B52&gt;=65),VLOOKUP(Setup!I$4,Lookups!C$133:F$136,4),OR(A52&gt;=65,B52&gt;=65),VLOOKUP(Setup!I$4,Lookups!C$133:E$136,3),AND(A52&lt;65,B52&lt;65),VLOOKUP(Setup!I$4,Lookups!C$133:D$136,2)),0)</f>
        <v>0</v>
      </c>
      <c r="BK52" s="1" cm="1">
        <f t="array" ref="BK52">IF(BJ52&gt;0,_xlfn.IFS(Setup!I$4=Lookups!D$109,-_xlfn.IFS($BJ52&gt;=Lookups!D$157, Lookups!F$157+($BJ52-Lookups!D$157)*Lookups!G$157,$BJ52&gt;=Lookups!D$156, Lookups!F$156+($BJ52-Lookups!D$156)*Lookups!G$156,$BJ52&gt;=Lookups!D$155, Lookups!F$155+($BJ52-Lookups!D$155)*Lookups!G$155,$BJ52&gt;=Lookups!D$154, Lookups!F$154+($BJ52-Lookups!D$154)*Lookups!G$154,$BJ52&gt;=Lookups!D$153, Lookups!F$153+($BJ52-Lookups!D$153)*Lookups!G$153,$BJ52&gt;=Lookups!D$152, Lookups!F$152+($BJ52-Lookups!D$152)*Lookups!G$152,$BJ52&lt;Lookups!D$152,$BJ52*Lookups!G$151),Setup!I$4=Lookups!D$110,-_xlfn.IFS($BJ52&gt;=Lookups!D$167, Lookups!F$167+($BJ52-Lookups!D$167)*Lookups!G$167,$BJ52&gt;=Lookups!D$166, Lookups!F$166+($BJ52-Lookups!D$166)*Lookups!G$166,$BJ52&gt;=Lookups!D$165, Lookups!F$165+($BJ52-Lookups!D$165)*Lookups!G$165,$BJ52&gt;=Lookups!D$164, Lookups!F$164+($BJ52-Lookups!D$164)*Lookups!G$164,$BJ52&gt;=Lookups!D$163, Lookups!F$163+($BJ52-Lookups!D$163)*Lookups!G$163,$BJ52&gt;=Lookups!D$162, Lookups!F$162+($BJ52-Lookups!D$162)*Lookups!G$162,$BJ52&lt;Lookups!D$162,$BJ52*Lookups!G$161),Setup!I$4=Lookups!D$111,-_xlfn.IFS($BJ52&gt;=Lookups!D$177, Lookups!F$177+($BJ52-Lookups!D$177)*Lookups!G$177,$BJ52&gt;=Lookups!D$176, Lookups!F$176+($BJ52-Lookups!D$176)*Lookups!G$176,$BJ52&gt;=Lookups!D$175, Lookups!F$175+($BJ52-Lookups!D$175)*Lookups!G$175,$BJ52&gt;=Lookups!D$174, Lookups!F$174+($BJ52-Lookups!D$174)*Lookups!G$174,$BJ52&gt;=Lookups!D$173, Lookups!F$173+($BJ52-Lookups!D$173)*Lookups!G$173,$BJ52&gt;=Lookups!D$172, Lookups!F$172+($BJ52-Lookups!D$172)*Lookups!G$172,$BJ52&lt;Lookups!D$172,$BJ52*Lookups!G$171), Setup!I$4=Lookups!D$112,-_xlfn.IFS($BJ52&gt;=Lookups!D$187, Lookups!F$187+($BJ52-Lookups!D$187)*Lookups!G$187,$BJ52&gt;=Lookups!D$186, Lookups!F$186+($BJ52-Lookups!D$186)*Lookups!G$186,$BJ52&gt;=Lookups!D$185, Lookups!F$185+($BJ52-Lookups!D$185)*Lookups!G$185,$BJ52&gt;=Lookups!D$184, Lookups!F$184+($BJ52-Lookups!D$184)*Lookups!G$184,$BJ52&gt;=Lookups!D$183, Lookups!F$183+($BJ52-Lookups!D$183)*Lookups!G$183,$BJ52&gt;=Lookups!D$182, Lookups!F$182+($BJ52-Lookups!D$182)*Lookups!G$182,$BJ52&lt;Lookups!D$182,$BJ52*Lookups!G$181)),0)</f>
        <v>0</v>
      </c>
      <c r="BL52" s="18">
        <f t="shared" si="54"/>
        <v>0</v>
      </c>
      <c r="BM52" s="134">
        <f t="shared" si="55"/>
        <v>0</v>
      </c>
      <c r="BN52" s="134" cm="1">
        <f t="array" aca="1" ref="BN52" ca="1">INDIRECT(Setup!I$6&amp;"!"&amp;"A"&amp;ROW())</f>
        <v>0</v>
      </c>
      <c r="BO52" s="134">
        <f t="shared" si="56"/>
        <v>0</v>
      </c>
      <c r="BP52" s="1">
        <f t="shared" si="57"/>
        <v>0</v>
      </c>
      <c r="BQ52" s="1">
        <f t="shared" si="58"/>
        <v>0</v>
      </c>
      <c r="BS52" s="1">
        <f t="shared" si="50"/>
        <v>0</v>
      </c>
      <c r="BT52" s="1" cm="1">
        <f t="array" ref="BT52">-IF(BS52&gt;0,_xlfn.IFS((AW52+BA52+BG52+BS52)&gt;=VLOOKUP(Setup!I$4,Lookups!C$210:E$213,3),BS52*Lookups!D$203,(AW52+BA52+BG52+BS52)&gt;=VLOOKUP(Setup!I$4,Lookups!C$210:E$213,2),BS52*Lookups!D$197,(AW52+BA52+BG52+BS52)&lt;VLOOKUP(Setup!I$4,Lookups!C$210:E$213,2),0),0)</f>
        <v>0</v>
      </c>
      <c r="BU52" s="18">
        <f t="shared" si="51"/>
        <v>0</v>
      </c>
      <c r="BV52" s="1">
        <f t="shared" si="52"/>
        <v>0</v>
      </c>
      <c r="BW52" s="1" cm="1">
        <f t="array" aca="1" ref="BW52" ca="1">INDIRECT(Setup!I$6&amp;"!"&amp;"A"&amp;ROW()+100)</f>
        <v>0</v>
      </c>
      <c r="BX52" s="1">
        <f t="shared" ca="1" si="44"/>
        <v>0</v>
      </c>
      <c r="BY52" s="1">
        <f t="shared" ca="1" si="45"/>
        <v>0</v>
      </c>
      <c r="CA52" s="1">
        <f t="shared" si="59"/>
        <v>0</v>
      </c>
      <c r="CC52" s="1" cm="1">
        <f t="array" ref="CC52">_xlfn.IFS(AND(A52&lt;$DA$4,B52&lt;$DB$4),0,AND(AND(A52&gt;=$DA$4,B52&gt;=$DB$4),AND(A52&lt;=$DA$6,B52&lt;=$DB$6),AND(BH52=0,BI52=0)),SUM(AW52,AY52:AZ52,BD52:BF52,BP52,BS52,CA52)-AQ52,AND(AND(A52&gt;=$DA$4,B52&gt;=$DB$4),AND(A52&lt;=$DA$6,B52&lt;=$DB$6)),SUM(AW52,AY52:AZ52,BD52:BF52,BS52,CA52)-AQ52,AND(OR(A52&gt;=$DA$4,B52&gt;=$DB$4),AND(BH52=0,BI52=0)),SUM(AW52,AY52:AZ52,BD52:BF52,BP52,BS52,CA52)-AP52,OR(A52&gt;=$DA$4,B52&gt;=$DB$4),SUM(AW52,AY52:AZ52,BD52:BF52,BS52,CA52)-AP52)</f>
        <v>0</v>
      </c>
      <c r="CD52" s="142" t="str">
        <f t="shared" si="30"/>
        <v/>
      </c>
    </row>
    <row r="53" spans="1:82" x14ac:dyDescent="0.3">
      <c r="A53" s="354">
        <f t="shared" si="62"/>
        <v>46</v>
      </c>
      <c r="B53" s="354">
        <f t="shared" si="63"/>
        <v>46</v>
      </c>
      <c r="C53" s="359">
        <f t="shared" si="33"/>
        <v>16803</v>
      </c>
      <c r="D53" s="326" cm="1">
        <f t="array" ref="D53">_xlfn.IFS(AND(A53&gt;DA$6,B53&gt;DB$6),0,AND(A53&gt;DA$3,A53&lt;=DA$4),D52*(1+DH$1),OR(A53&gt;DA$6,A53&gt;DA$4),(D52-BH52)*(1+DH$2),A53&lt;=DA$4,(D52*(1+DH$1))+(D$4))</f>
        <v>0</v>
      </c>
      <c r="E53" s="375"/>
      <c r="F53" s="326" cm="1">
        <f t="array" ref="F53">_xlfn.IFS(AND(A53&gt;DA$6,B53&gt;DB$6),0,AND(B53&gt;DB$3,B53&lt;=DB$4),F52*(1+DH$1),OR(B53&gt;DB$6,B53&gt;DB$4),(F52-BI52)*(1+DH$2),B53&lt;=DB$4,(F52*(1+DH$1))+(F$4))</f>
        <v>0</v>
      </c>
      <c r="G53" s="375"/>
      <c r="H53" s="1">
        <f t="shared" si="60"/>
        <v>0</v>
      </c>
      <c r="I53" s="2">
        <f t="shared" si="36"/>
        <v>0</v>
      </c>
      <c r="J53" s="14">
        <f t="shared" si="64"/>
        <v>0</v>
      </c>
      <c r="L53" s="402" cm="1">
        <f t="array" ref="L53">_xlfn.IFS(AND(A53&gt;DA$6,B53&gt;DB$6),0,A53&lt;DA$6,0,A53=DA$6,L$4,AND(A53&gt;DA$6,B53&lt;=DB$4),L52*(1+DH$1),AND(A53&gt;DA$6,B53&gt;DB$4),IF(Y52=0,0,(L52-((L52/Y52)*BY52))*(1+DH$2)))</f>
        <v>0</v>
      </c>
      <c r="M53" s="402" cm="1">
        <f t="array" ref="M53">_xlfn.IFS(AND(A53&gt;DA$6,B53&gt;DB$6),0,B53&lt;DB$6,0,B53=DB$6,M$4,AND(B53&gt;DB$6,A53&lt;=DA$4),M52*(1+DH$1),AND(A53&gt;DA$4,B53&gt;DB$6),IF(Y52=0,0,(M52-((M52/Y52)*BY52))*(1+DH$2)))</f>
        <v>0</v>
      </c>
      <c r="N53" s="327"/>
      <c r="O53" s="327" cm="1">
        <f t="array" ref="O53">_xlfn.IFS(OR(ISBLANK(Setup!C$63),Setup!C$63&gt;YEAR(C53),AND(A53&gt;DA$6,B53&gt;DB$6),ISBLANK(Y52)),0,Setup!C$63=YEAR(C53),Setup!C$62,AND(OR(A53&lt;=DA$4,B53&lt;=DB$4),Setup!C$63&lt;YEAR(C53)),O52*(1+DH$1),AND(A53&gt;DA$4,B53&gt;DB$4,Setup!C$63&lt;YEAR(C53)),IF(Y52=0,0,(O52-((O52/Y52)*BY52))*(1+DH$2)))</f>
        <v>0</v>
      </c>
      <c r="P53" s="327" cm="1">
        <f t="array" ref="P53">_xlfn.IFS(OR(ISBLANK(Setup!C$67),Setup!C$67&gt;YEAR(C53),AND(A53&gt;DA$6,B53&gt;DB$6)),0,Setup!C$67=YEAR(C53),Setup!C$66,AND(OR(A53&lt;=DA$4,B53&lt;=DB$4),Setup!C$67&lt;YEAR(C53)),P52*(1+DH$1),AND(A53&gt;DA$4,B53&gt;DB$4,Setup!C$67&lt;YEAR(C53)),IF(Y52=0,0,(P52-((P52/Y52)*BY52))*(1+DH$2)))</f>
        <v>0</v>
      </c>
      <c r="Q53" s="327" cm="1">
        <f t="array" ref="Q53">_xlfn.IFS(OR(ISBLANK(Setup!C$71),Setup!C$71&gt;YEAR(C53),AND(A53&gt;DA$6,B53&gt;DB$6)),0,Setup!C$71=YEAR(C53),Setup!C$70,AND(OR(A53&lt;=DA$4,B53&lt;=DB$4),Setup!C$71&lt;YEAR(C53)),Q52*(1+DH$1),AND(A53&gt;DA$4,B53&gt;DB$4,Setup!C$71&lt;YEAR(C53)),IF(Y52=0,0,(Q52-((Q52/Y52)*BY52))*(1+DH$2)))</f>
        <v>0</v>
      </c>
      <c r="R53" s="327" cm="1">
        <f t="array" ref="R53">_xlfn.IFS(OR(ISBLANK(Setup!C$75),Setup!C$75&gt;YEAR(C53),AND(A53&gt;DA$6,B53&gt;DB$6)),0,Setup!C$75=YEAR(C53),Setup!C$74,AND(OR(A53&lt;=DA$4,B53&lt;=DB$4),Setup!C$75&lt;YEAR(C53)),R52*(1+DH$1),AND(A53&gt;DA$4,B53&gt;DB$4,Setup!C$75&lt;YEAR(C53)),IF(Y52=0,0,(R52-((R52/Y52)*BY52))*(1+DH$2)))</f>
        <v>0</v>
      </c>
      <c r="S53" s="327"/>
      <c r="T53" s="326" cm="1">
        <f t="array" ref="T53">_xlfn.IFS(AND($A53&gt;$DA$6,$B53&gt;$DB$6),0,AND($W$2=$DA$2,$A53&gt;$DA$4),IF($Y52=0,0,(T52-((T52/$Y52)*$BY52))*(1+$DH$2)),AND($W$2=$DB$2,$B53&gt;$DB$4),IF($Y52=0,0,(T52-((T52/$Y52)*$BY52))*(1+$DH$2)),AND($W$2=$DA$2,OR($A53&gt;$DA$3,$A53&gt;$DA$6)),(T52*(1+$DH$1)),AND($W$2=$DB$2,OR($B53&gt;$DB$3,$B53&gt;$DB$6)),(T52*(1+$DH$1)),AND($W$2=$DA$2,$A53&lt;=$DA$3,$A53&lt;=$DA$4,$A53&lt;=$DA$5),(T52*(1+$DH$1))+(T$4),AND($W$2=$DB$2,$B53&lt;=$DB$3,$B53&lt;=$DB$4,$B53&lt;=$DB$5),(T52*(1+$DH$1))+(T$4))</f>
        <v>0</v>
      </c>
      <c r="U53" s="326" cm="1">
        <f t="array" ref="U53">_xlfn.IFS(AND($A53&gt;$DA$6,$B53&gt;$DB$6),0,AND($W$2=$DA$2,$A53&gt;$DA$4),IF($Y52=0,0,(U52-((U52/$Y52)*$BY52))*(1+$DH$2)),AND($W$2=$DB$2,$B53&gt;$DB$4),IF($Y52=0,0,(U52-((U52/$Y52)*$BY52))*(1+$DH$2)),AND($W$2=$DA$2,OR($A53&gt;$DA$3,$A53&gt;$DA$6)),(U52*(1+$DH$1)),AND($W$2=$DB$2,OR($B53&gt;$DB$3,$B53&gt;$DB$6)),(U52*(1+$DH$1)),AND($W$2=$DA$2,$A53&lt;=$DA$3,$A53&lt;=$DA$4,$A53&lt;=$DA$5),(U52*(1+$DH$1))+(U$4),AND($W$2=$DB$2,$B53&lt;=$DB$3,$B53&lt;=$DB$4,$B53&lt;=$DB$5),(U52*(1+$DH$1))+(U$4))</f>
        <v>0</v>
      </c>
      <c r="V53" s="326" cm="1">
        <f t="array" ref="V53">_xlfn.IFS(AND($A53&gt;$DA$6,$B53&gt;$DB$6),0,AND($W$2=$DA$2,$A53&gt;$DA$4),IF($Y52=0,0,(V52-((V52/$Y52)*$BY52))*(1+$DH$2)),AND($W$2=$DB$2,$B53&gt;$DB$4),IF($Y52=0,0,(V52-((V52/$Y52)*$BY52))*(1+$DH$2)),AND($W$2=$DA$2,OR($A53&gt;$DA$3,$A53&gt;$DA$6)),(V52*(1+$DH$1)),AND($W$2=$DB$2,OR($B53&gt;$DB$3,$B53&gt;$DB$6)),(V52*(1+$DH$1)),AND($W$2=$DA$2,$A53&lt;=$DA$3,$A53&lt;=$DA$4,$A53&lt;=$DA$5),(V52*(1+$DH$1))+(V$4),AND($W$2=$DB$2,$B53&lt;=$DB$3,$B53&lt;=$DB$4,$B53&lt;=$DB$5),(V52*(1+$DH$1))+(V$4))</f>
        <v>0</v>
      </c>
      <c r="W53" s="326" cm="1">
        <f t="array" ref="W53">_xlfn.IFS(AND($A53&gt;$DA$6,$B53&gt;$DB$6),0,AND($W$2=$DA$2,$A53&gt;$DA$4),IF($Y52=0,0,(W52-((W52/$Y52)*$BY52))*(1+$DH$2)),AND($W$2=$DB$2,$B53&gt;$DB$4),IF($Y52=0,0,(W52-((W52/$Y52)*$BY52))*(1+$DH$2)),AND($W$2=$DA$2,OR($A53&gt;$DA$3,$A53&gt;$DA$6)),(W52*(1+$DH$1)),AND($W$2=$DB$2,OR($B53&gt;$DB$3,$B53&gt;$DB$6)),(W52*(1+$DH$1)),AND($W$2=$DA$2,$A53&lt;=$DA$3,$A53&lt;=$DA$4,$A53&lt;=$DA$5),(W52*(1+$DH$1))+(W$4),AND($W$2=$DB$2,$B53&lt;=$DB$3,$B53&lt;=$DB$4,$B53&lt;=$DB$5),(W52*(1+$DH$1))+(W$4))</f>
        <v>0</v>
      </c>
      <c r="Y53" s="1">
        <f t="shared" si="47"/>
        <v>0</v>
      </c>
      <c r="Z53" s="2">
        <f t="shared" si="37"/>
        <v>0</v>
      </c>
      <c r="AA53" s="375"/>
      <c r="AC53" s="326" cm="1">
        <f t="array" ref="AC53">_xlfn.IFS(AND(A53&gt;DA$6,B53&gt;DB$6),0,AND(A53&gt;DA$4,B53&gt;DB$4),IF(AG52=0,0,(AC52-((AC52/AG52)*CA52))*(1+DH$2)),OR(A53&gt;DA$3,A53&gt;DA$6),AC52*(1+DH$1),A53&gt;DA$4,(AC52-CA52)*(1+DH$2),AND(A53&lt;=DA$3,A53&lt;=DA$4,A53&lt;=DA$6),(AC52*(1+DH$1))+(AC$4))</f>
        <v>0</v>
      </c>
      <c r="AD53" s="375"/>
      <c r="AE53" s="326" cm="1">
        <f t="array" ref="AE53">_xlfn.IFS(AND(A53&gt;DA$6,B53&gt;DB$6),0,AND(A53&gt;DA$4,B53&gt;DB$4),IF(AG52=0,0,(AE52-((AE52/AG52)*CA52))*(1+DH$2)),OR(B53&gt;DB$3,B53&gt;DB$6),AE52*(1+DH$1),B53&gt;DB$4,(AE52-CA52)*(1+DH$2),AND(B53&lt;=DB$3,B53&lt;=DB$4,B53&lt;=DB$6),(AE52*(1+DH$1))+(AE$4))</f>
        <v>0</v>
      </c>
      <c r="AF53" s="375"/>
      <c r="AG53" s="1">
        <f t="shared" si="61"/>
        <v>0</v>
      </c>
      <c r="AH53" s="2">
        <f t="shared" si="48"/>
        <v>0</v>
      </c>
      <c r="AI53" s="14">
        <f t="shared" si="38"/>
        <v>0</v>
      </c>
      <c r="AK53" s="1">
        <f t="shared" si="49"/>
        <v>0</v>
      </c>
      <c r="AL53" s="14">
        <f t="shared" si="39"/>
        <v>0</v>
      </c>
      <c r="AM53" s="14" t="str">
        <f t="shared" si="23"/>
        <v/>
      </c>
      <c r="AO53" s="15">
        <f t="shared" si="40"/>
        <v>0</v>
      </c>
      <c r="AP53" s="1">
        <f>IF(AND(B53&gt;=$DB$6,A53&gt;=$DA$6),0,AP52*(1+Lookups!C$12))</f>
        <v>0</v>
      </c>
      <c r="AQ53" s="1">
        <f>IF(AND(B53&gt;=$DB$6,A53&gt;=$DA$6),0,AQ52*(1+Lookups!C$12))</f>
        <v>0</v>
      </c>
      <c r="AS53" s="1" cm="1">
        <f t="array" ref="AS53">_xlfn.IFS(OR(AS$6="",AND(A53&gt;=DA$6,B53&gt;=DB$6),AND(A53&lt;DA$4,B53&lt;DB$4)),0,AND(A53=DA$4,DA$4&lt;=DB$4),AS$6,AND(B53=DB$4,DA$4&gt;=DB$4),AS$6,OR(A53&gt;DA$4,B53&gt;DB$4),AS52*(1+Setup!C$103))</f>
        <v>0</v>
      </c>
      <c r="AT53" s="1" cm="1">
        <f t="array" ref="AT53">_xlfn.IFS(OR(AT$6="",AND(A53&gt;=DA$6,B53&gt;=DB$6),AND(A53&lt;DA$4,B53&lt;DB$4)),0,AND(A53=DA$4,DA$4&lt;=DB$4),AT$6,AND(B53=DB$4,DA$4&gt;=DB$4),AT$6,OR(A53&gt;DA$4,B53&gt;DB$4),AT52*(1+Setup!C$103))</f>
        <v>0</v>
      </c>
      <c r="AU53" s="1" cm="1">
        <f t="array" ref="AU53">_xlfn.IFS(OR(AU$6="",AND(A53&gt;=DA$6,B53&gt;=DB$6),AND(A53&lt;DA$4,B53&lt;DB$4)),0,AND(A53=DA$4,DA$4&lt;=DB$4),AU$6,AND(B53=DB$4,DA$4&gt;=DB$4),AU$6,OR(A53&gt;DA$4,B53&gt;DB$4),AU52*(1+Setup!C$103))</f>
        <v>0</v>
      </c>
      <c r="AV53" s="1" cm="1">
        <f t="array" ref="AV53">_xlfn.IFS(OR(AV$6="",AND(A53&gt;=DA$6,B53&gt;=DB$6),AND(A53&lt;DA$4,B53&lt;DB$4)),0,AND(A53=DA$4,DA$4&lt;=DB$4),AV$6,AND(B53=DB$4,DA$4&gt;=DB$4),AV$6,OR(A53&gt;DA$4,B53&gt;DB$4),AV52*(1+Setup!C$103))</f>
        <v>0</v>
      </c>
      <c r="AW53" s="1">
        <f t="shared" si="41"/>
        <v>0</v>
      </c>
      <c r="AY53" s="1" cm="1">
        <f t="array" ref="AY53">_xlfn.IFS(OR(AND(A53&gt;=DA$6,B53&gt;=DB$6),A53&lt;DA$5),0,AND(A53=DA$5,YEAR(C53)&gt;=Lookups!D$89),VLOOKUP(A53,Lookups!B$94:F$102,3),AND(A53=DA$5,YEAR(C53)&lt;Lookups!D$89),VLOOKUP(A53,Lookups!B$94:F$102,2),AND(A53&gt;DA$5,YEAR(C53)=Lookups!D$89),(AY52*Lookups!D$90)*(1+Lookups!C$20),AND(A53&gt;DA$5,YEAR(C53)&lt;&gt;Lookups!D$89),AY52*(1+Lookups!C$20))</f>
        <v>0</v>
      </c>
      <c r="AZ53" s="1" cm="1">
        <f t="array" ref="AZ53">_xlfn.IFS(OR(ISBLANK(Setup!K$91),Setup!K$91=0,AND(A53&gt;=DA$6,B53&gt;=DB$6),B53&lt;DB$5),0,AND(B53=DB$5,YEAR(C53)&gt;=Lookups!D$89),VLOOKUP(B53,Lookups!B$94:F$102,5),AND(B53=DB$5,YEAR(C53)&lt;Lookups!D$89),VLOOKUP(B53,Lookups!B$94:F$102,4),AND(B53&gt;DB$5,YEAR(C53)=Lookups!D$89),(AZ52*Lookups!D$90)*(1+Lookups!C$20),AND(B53&gt;DB$5,YEAR(C53)&lt;&gt;Lookups!D$89),AZ52*(1+Lookups!C$20))</f>
        <v>0</v>
      </c>
      <c r="BA53" s="65">
        <f>IF(OR(AY53&gt;0,AZ53&gt;0),(AY53+AZ53)*Lookups!D$120,0)</f>
        <v>0</v>
      </c>
      <c r="BB53" s="1" cm="1">
        <f t="array" ref="BB53">_xlfn.IFS(AND(A53&lt;DA$4,B53&lt;DB$4),0,OR(_xlfn.XOR(A53&gt;DA$6,B53&gt;DB$6),_xlfn.XOR(A53&gt;=DA$4,B53&gt;=DB$4)),IF(AP53-SUM(AW53,AY53:AZ53)&gt;0,AP53-SUM(AW53,AY53:AZ53),0),AQ53-SUM(AW53,AY53:AZ53)&gt;0, AQ53-SUM(AW53,AY53:AZ53),AQ53-SUM(AW53,AY53:AZ53)&lt;=0,0)</f>
        <v>0</v>
      </c>
      <c r="BD53" s="1" cm="1">
        <f t="array" ref="BD53">_xlfn.IFS(AND(A53&gt;=DA$6,B53&gt;=DB$6),0,AND(A53&gt;=DA$6,B53&gt;=Lookups!C$35),D53/VLOOKUP(B53,Lookups!C$37:D$67,2),A53&lt;Lookups!$C$35,0,A53&gt;=Lookups!C$35,D53/VLOOKUP(A53,Lookups!C$37:D$67,2))</f>
        <v>0</v>
      </c>
      <c r="BE53" s="1" cm="1">
        <f t="array" ref="BE53">_xlfn.IFS(AND(A53&gt;=DA$6,B53&gt;=DB$6),0,AND(B53&gt;=DB$6,A53&gt;=Lookups!C$35),F53/VLOOKUP(A53,Lookups!C$37:D$67,2),B53&lt;Lookups!$C$35,0,B53&gt;=Lookups!C$35,F53/VLOOKUP(B53,Lookups!C$37:D$67,2))</f>
        <v>0</v>
      </c>
      <c r="BF53" s="1" cm="1">
        <f t="array" ref="BF53">_xlfn.IFS($BB53&lt;=0,0,AND(A53&gt;=DA$4,B53&gt;=DB$4,$BB53*I53&lt;(BD53+BE53)),0,AND(A53&gt;=DA$4,B53&gt;=DB$4,H53&gt;=(BB53*I53)-BD53-BE53),(BB53*I53)-BD53-BE53,AND(A53&gt;=DA$4,B53&gt;=DB$4,H53&lt;(BB53*I53)-BD53-BE53),H53,AND(A53&gt;=DA$4,$BB53*I53&lt;(BD53)),0,AND(A53&gt;=DA$4,H53&gt;=(BB53*I53)-BD53),(BB53*I53)-BD53,AND(A53&gt;=DA$4,H53&lt;(BB53*I53)-BD53),H53,AND(B53&gt;=DB$4,$BB53*I53&lt;(BE53)),0,AND(B53&gt;=DB$4,H53&gt;=(BB53*I53)-BE53),(BB53*I53)-BE53,AND(B53&gt;=DB$4,H53&lt;(BB53*I53)-BE53),H53)</f>
        <v>0</v>
      </c>
      <c r="BG53" s="1">
        <f t="shared" si="53"/>
        <v>0</v>
      </c>
      <c r="BH53" s="1" cm="1">
        <f t="array" ref="BH53">_xlfn.IFS(OR(D53=0,A53&lt;DA$4),0,AND(A53&gt;=DA$4,B53&gt;=DB$4,D53&lt;BD53+($BF53*(D53/$H53))+(-$BP53*(D53/$H53))),D53,AND(A53&gt;=DA$4,B53&gt;=DB$4,$BB53&gt;$BG53),BD53+($BF53*(D53/$H53))+(-$BP53*(D53/$H53)),AND(A53&gt;=DA$4,B53&gt;=DB$4,OR(A53&gt;DA$6, B53&gt;DB$6),$AP53-SUM($AW53,$AY53:$AZ53)&lt;0),BD53+($BF53*(D53/$H53))+(-$BP53*(D53/$H53))+(BP53*(D53/$H53)),AND(A53&gt;=DA$4,B53&gt;=DB$4,$AQ53-SUM($AW53,$AY53:$AZ53)&lt;0),BD53+($BF53*(D53/$H53))+(-$BP53*(D53/$H53))+(BP53*(D53/$H53)),AND(A53&gt;=DA$4,D53&lt;BD53+$BF53-$BP53),D53,AND(A53&gt;=DA$4,$AP53-SUM($AW53,$AY53:$AZ53)&lt;0),BD53+($BF53*(D53/$H53))+(-$BP53*(D53/$H53))+(BP53*(D53/$H53)),A53&gt;=DA$4,BD53+$BF53-$BP53)</f>
        <v>0</v>
      </c>
      <c r="BI53" s="1" cm="1">
        <f t="array" ref="BI53">_xlfn.IFS(OR(F53=0,B53&lt;DB$4),0,AND(A53&gt;=DA$4,B53&gt;=DB$4,F53&lt;BE53+($BF53*(F53/$H53))+(-$BP53*(F53/$H53))),F53,AND(A53&gt;=DA$4,B53&gt;=DB$4,$BB53&gt;$BG53),BE53+($BF53*(F53/$H53))+(-$BP53*(F53/$H53)),AND(A53&gt;=DA$4,B53&gt;=DB$4,OR(A53&gt;DA$6, B53&gt;DB$6),$AP53-SUM($AW53,$AY53:$AZ53)&lt;0),BE53+($BF53*(F53/$H53))+(-$BP53*(F53/$H53))+(BP53*(F53/$H53)),AND(A53&gt;=DA$4,B53&gt;=DB$4,$AQ53-SUM($AW53,$AY53:$AZ53)&lt;0),BE53+($BF53*(F53/$H53))+(-$BP53*(F53/$H53))+(BP53*(F53/$H53)),AND(B53&gt;=DB$4,F53&lt;BE53+$BF53-$BP53),F53,AND(B53&gt;=DB$4,$AP53-SUM($AW53,$AY53:$AZ53)&lt;0),BE53+($BF53*(F53/$H53))+(-$BP53*(F53/$H53))+(BP53*(F53/$H53)),B53&gt;=DB$4,BE53+$BF53-$BP53)</f>
        <v>0</v>
      </c>
      <c r="BJ53" s="64" cm="1">
        <f t="array" ref="BJ53">IF(AW53+BA53+BG53&gt;0, AW53+BA53+BG53-_xlfn.IFS(AND(A53&gt;=65,B53&gt;=65),VLOOKUP(Setup!I$4,Lookups!C$133:F$136,4),OR(A53&gt;=65,B53&gt;=65),VLOOKUP(Setup!I$4,Lookups!C$133:E$136,3),AND(A53&lt;65,B53&lt;65),VLOOKUP(Setup!I$4,Lookups!C$133:D$136,2)),0)</f>
        <v>0</v>
      </c>
      <c r="BK53" s="1" cm="1">
        <f t="array" ref="BK53">IF(BJ53&gt;0,_xlfn.IFS(Setup!I$4=Lookups!D$109,-_xlfn.IFS($BJ53&gt;=Lookups!D$157, Lookups!F$157+($BJ53-Lookups!D$157)*Lookups!G$157,$BJ53&gt;=Lookups!D$156, Lookups!F$156+($BJ53-Lookups!D$156)*Lookups!G$156,$BJ53&gt;=Lookups!D$155, Lookups!F$155+($BJ53-Lookups!D$155)*Lookups!G$155,$BJ53&gt;=Lookups!D$154, Lookups!F$154+($BJ53-Lookups!D$154)*Lookups!G$154,$BJ53&gt;=Lookups!D$153, Lookups!F$153+($BJ53-Lookups!D$153)*Lookups!G$153,$BJ53&gt;=Lookups!D$152, Lookups!F$152+($BJ53-Lookups!D$152)*Lookups!G$152,$BJ53&lt;Lookups!D$152,$BJ53*Lookups!G$151),Setup!I$4=Lookups!D$110,-_xlfn.IFS($BJ53&gt;=Lookups!D$167, Lookups!F$167+($BJ53-Lookups!D$167)*Lookups!G$167,$BJ53&gt;=Lookups!D$166, Lookups!F$166+($BJ53-Lookups!D$166)*Lookups!G$166,$BJ53&gt;=Lookups!D$165, Lookups!F$165+($BJ53-Lookups!D$165)*Lookups!G$165,$BJ53&gt;=Lookups!D$164, Lookups!F$164+($BJ53-Lookups!D$164)*Lookups!G$164,$BJ53&gt;=Lookups!D$163, Lookups!F$163+($BJ53-Lookups!D$163)*Lookups!G$163,$BJ53&gt;=Lookups!D$162, Lookups!F$162+($BJ53-Lookups!D$162)*Lookups!G$162,$BJ53&lt;Lookups!D$162,$BJ53*Lookups!G$161),Setup!I$4=Lookups!D$111,-_xlfn.IFS($BJ53&gt;=Lookups!D$177, Lookups!F$177+($BJ53-Lookups!D$177)*Lookups!G$177,$BJ53&gt;=Lookups!D$176, Lookups!F$176+($BJ53-Lookups!D$176)*Lookups!G$176,$BJ53&gt;=Lookups!D$175, Lookups!F$175+($BJ53-Lookups!D$175)*Lookups!G$175,$BJ53&gt;=Lookups!D$174, Lookups!F$174+($BJ53-Lookups!D$174)*Lookups!G$174,$BJ53&gt;=Lookups!D$173, Lookups!F$173+($BJ53-Lookups!D$173)*Lookups!G$173,$BJ53&gt;=Lookups!D$172, Lookups!F$172+($BJ53-Lookups!D$172)*Lookups!G$172,$BJ53&lt;Lookups!D$172,$BJ53*Lookups!G$171), Setup!I$4=Lookups!D$112,-_xlfn.IFS($BJ53&gt;=Lookups!D$187, Lookups!F$187+($BJ53-Lookups!D$187)*Lookups!G$187,$BJ53&gt;=Lookups!D$186, Lookups!F$186+($BJ53-Lookups!D$186)*Lookups!G$186,$BJ53&gt;=Lookups!D$185, Lookups!F$185+($BJ53-Lookups!D$185)*Lookups!G$185,$BJ53&gt;=Lookups!D$184, Lookups!F$184+($BJ53-Lookups!D$184)*Lookups!G$184,$BJ53&gt;=Lookups!D$183, Lookups!F$183+($BJ53-Lookups!D$183)*Lookups!G$183,$BJ53&gt;=Lookups!D$182, Lookups!F$182+($BJ53-Lookups!D$182)*Lookups!G$182,$BJ53&lt;Lookups!D$182,$BJ53*Lookups!G$181)),0)</f>
        <v>0</v>
      </c>
      <c r="BL53" s="18">
        <f t="shared" si="54"/>
        <v>0</v>
      </c>
      <c r="BM53" s="134">
        <f t="shared" si="55"/>
        <v>0</v>
      </c>
      <c r="BN53" s="134" cm="1">
        <f t="array" aca="1" ref="BN53" ca="1">INDIRECT(Setup!I$6&amp;"!"&amp;"A"&amp;ROW())</f>
        <v>0</v>
      </c>
      <c r="BO53" s="134">
        <f t="shared" si="56"/>
        <v>0</v>
      </c>
      <c r="BP53" s="1">
        <f t="shared" si="57"/>
        <v>0</v>
      </c>
      <c r="BQ53" s="1">
        <f t="shared" si="58"/>
        <v>0</v>
      </c>
      <c r="BS53" s="1">
        <f t="shared" si="50"/>
        <v>0</v>
      </c>
      <c r="BT53" s="1" cm="1">
        <f t="array" ref="BT53">-IF(BS53&gt;0,_xlfn.IFS((AW53+BA53+BG53+BS53)&gt;=VLOOKUP(Setup!I$4,Lookups!C$210:E$213,3),BS53*Lookups!D$203,(AW53+BA53+BG53+BS53)&gt;=VLOOKUP(Setup!I$4,Lookups!C$210:E$213,2),BS53*Lookups!D$197,(AW53+BA53+BG53+BS53)&lt;VLOOKUP(Setup!I$4,Lookups!C$210:E$213,2),0),0)</f>
        <v>0</v>
      </c>
      <c r="BU53" s="18">
        <f t="shared" si="51"/>
        <v>0</v>
      </c>
      <c r="BV53" s="1">
        <f t="shared" si="52"/>
        <v>0</v>
      </c>
      <c r="BW53" s="1" cm="1">
        <f t="array" aca="1" ref="BW53" ca="1">INDIRECT(Setup!I$6&amp;"!"&amp;"A"&amp;ROW()+100)</f>
        <v>0</v>
      </c>
      <c r="BX53" s="1">
        <f t="shared" ca="1" si="44"/>
        <v>0</v>
      </c>
      <c r="BY53" s="1">
        <f t="shared" ca="1" si="45"/>
        <v>0</v>
      </c>
      <c r="CA53" s="1">
        <f t="shared" si="59"/>
        <v>0</v>
      </c>
      <c r="CC53" s="1" cm="1">
        <f t="array" ref="CC53">_xlfn.IFS(AND(A53&lt;$DA$4,B53&lt;$DB$4),0,AND(AND(A53&gt;=$DA$4,B53&gt;=$DB$4),AND(A53&lt;=$DA$6,B53&lt;=$DB$6),AND(BH53=0,BI53=0)),SUM(AW53,AY53:AZ53,BD53:BF53,BP53,BS53,CA53)-AQ53,AND(AND(A53&gt;=$DA$4,B53&gt;=$DB$4),AND(A53&lt;=$DA$6,B53&lt;=$DB$6)),SUM(AW53,AY53:AZ53,BD53:BF53,BS53,CA53)-AQ53,AND(OR(A53&gt;=$DA$4,B53&gt;=$DB$4),AND(BH53=0,BI53=0)),SUM(AW53,AY53:AZ53,BD53:BF53,BP53,BS53,CA53)-AP53,OR(A53&gt;=$DA$4,B53&gt;=$DB$4),SUM(AW53,AY53:AZ53,BD53:BF53,BS53,CA53)-AP53)</f>
        <v>0</v>
      </c>
      <c r="CD53" s="142" t="str">
        <f t="shared" si="30"/>
        <v/>
      </c>
    </row>
    <row r="54" spans="1:82" x14ac:dyDescent="0.3">
      <c r="A54" s="354">
        <f t="shared" si="62"/>
        <v>47</v>
      </c>
      <c r="B54" s="354">
        <f t="shared" si="63"/>
        <v>47</v>
      </c>
      <c r="C54" s="359">
        <f t="shared" si="33"/>
        <v>17168</v>
      </c>
      <c r="D54" s="326" cm="1">
        <f t="array" ref="D54">_xlfn.IFS(AND(A54&gt;DA$6,B54&gt;DB$6),0,AND(A54&gt;DA$3,A54&lt;=DA$4),D53*(1+DH$1),OR(A54&gt;DA$6,A54&gt;DA$4),(D53-BH53)*(1+DH$2),A54&lt;=DA$4,(D53*(1+DH$1))+(D$4))</f>
        <v>0</v>
      </c>
      <c r="E54" s="375"/>
      <c r="F54" s="326" cm="1">
        <f t="array" ref="F54">_xlfn.IFS(AND(A54&gt;DA$6,B54&gt;DB$6),0,AND(B54&gt;DB$3,B54&lt;=DB$4),F53*(1+DH$1),OR(B54&gt;DB$6,B54&gt;DB$4),(F53-BI53)*(1+DH$2),B54&lt;=DB$4,(F53*(1+DH$1))+(F$4))</f>
        <v>0</v>
      </c>
      <c r="G54" s="375"/>
      <c r="H54" s="1">
        <f t="shared" si="60"/>
        <v>0</v>
      </c>
      <c r="I54" s="2">
        <f t="shared" si="36"/>
        <v>0</v>
      </c>
      <c r="J54" s="14">
        <f t="shared" si="64"/>
        <v>0</v>
      </c>
      <c r="L54" s="402" cm="1">
        <f t="array" ref="L54">_xlfn.IFS(AND(A54&gt;DA$6,B54&gt;DB$6),0,A54&lt;DA$6,0,A54=DA$6,L$4,AND(A54&gt;DA$6,B54&lt;=DB$4),L53*(1+DH$1),AND(A54&gt;DA$6,B54&gt;DB$4),IF(Y53=0,0,(L53-((L53/Y53)*BY53))*(1+DH$2)))</f>
        <v>0</v>
      </c>
      <c r="M54" s="402" cm="1">
        <f t="array" ref="M54">_xlfn.IFS(AND(A54&gt;DA$6,B54&gt;DB$6),0,B54&lt;DB$6,0,B54=DB$6,M$4,AND(B54&gt;DB$6,A54&lt;=DA$4),M53*(1+DH$1),AND(A54&gt;DA$4,B54&gt;DB$6),IF(Y53=0,0,(M53-((M53/Y53)*BY53))*(1+DH$2)))</f>
        <v>0</v>
      </c>
      <c r="N54" s="327"/>
      <c r="O54" s="327" cm="1">
        <f t="array" ref="O54">_xlfn.IFS(OR(ISBLANK(Setup!C$63),Setup!C$63&gt;YEAR(C54),AND(A54&gt;DA$6,B54&gt;DB$6),ISBLANK(Y53)),0,Setup!C$63=YEAR(C54),Setup!C$62,AND(OR(A54&lt;=DA$4,B54&lt;=DB$4),Setup!C$63&lt;YEAR(C54)),O53*(1+DH$1),AND(A54&gt;DA$4,B54&gt;DB$4,Setup!C$63&lt;YEAR(C54)),IF(Y53=0,0,(O53-((O53/Y53)*BY53))*(1+DH$2)))</f>
        <v>0</v>
      </c>
      <c r="P54" s="327" cm="1">
        <f t="array" ref="P54">_xlfn.IFS(OR(ISBLANK(Setup!C$67),Setup!C$67&gt;YEAR(C54),AND(A54&gt;DA$6,B54&gt;DB$6)),0,Setup!C$67=YEAR(C54),Setup!C$66,AND(OR(A54&lt;=DA$4,B54&lt;=DB$4),Setup!C$67&lt;YEAR(C54)),P53*(1+DH$1),AND(A54&gt;DA$4,B54&gt;DB$4,Setup!C$67&lt;YEAR(C54)),IF(Y53=0,0,(P53-((P53/Y53)*BY53))*(1+DH$2)))</f>
        <v>0</v>
      </c>
      <c r="Q54" s="327" cm="1">
        <f t="array" ref="Q54">_xlfn.IFS(OR(ISBLANK(Setup!C$71),Setup!C$71&gt;YEAR(C54),AND(A54&gt;DA$6,B54&gt;DB$6)),0,Setup!C$71=YEAR(C54),Setup!C$70,AND(OR(A54&lt;=DA$4,B54&lt;=DB$4),Setup!C$71&lt;YEAR(C54)),Q53*(1+DH$1),AND(A54&gt;DA$4,B54&gt;DB$4,Setup!C$71&lt;YEAR(C54)),IF(Y53=0,0,(Q53-((Q53/Y53)*BY53))*(1+DH$2)))</f>
        <v>0</v>
      </c>
      <c r="R54" s="327" cm="1">
        <f t="array" ref="R54">_xlfn.IFS(OR(ISBLANK(Setup!C$75),Setup!C$75&gt;YEAR(C54),AND(A54&gt;DA$6,B54&gt;DB$6)),0,Setup!C$75=YEAR(C54),Setup!C$74,AND(OR(A54&lt;=DA$4,B54&lt;=DB$4),Setup!C$75&lt;YEAR(C54)),R53*(1+DH$1),AND(A54&gt;DA$4,B54&gt;DB$4,Setup!C$75&lt;YEAR(C54)),IF(Y53=0,0,(R53-((R53/Y53)*BY53))*(1+DH$2)))</f>
        <v>0</v>
      </c>
      <c r="S54" s="327"/>
      <c r="T54" s="326" cm="1">
        <f t="array" ref="T54">_xlfn.IFS(AND($A54&gt;$DA$6,$B54&gt;$DB$6),0,AND($W$2=$DA$2,$A54&gt;$DA$4),IF($Y53=0,0,(T53-((T53/$Y53)*$BY53))*(1+$DH$2)),AND($W$2=$DB$2,$B54&gt;$DB$4),IF($Y53=0,0,(T53-((T53/$Y53)*$BY53))*(1+$DH$2)),AND($W$2=$DA$2,OR($A54&gt;$DA$3,$A54&gt;$DA$6)),(T53*(1+$DH$1)),AND($W$2=$DB$2,OR($B54&gt;$DB$3,$B54&gt;$DB$6)),(T53*(1+$DH$1)),AND($W$2=$DA$2,$A54&lt;=$DA$3,$A54&lt;=$DA$4,$A54&lt;=$DA$5),(T53*(1+$DH$1))+(T$4),AND($W$2=$DB$2,$B54&lt;=$DB$3,$B54&lt;=$DB$4,$B54&lt;=$DB$5),(T53*(1+$DH$1))+(T$4))</f>
        <v>0</v>
      </c>
      <c r="U54" s="326" cm="1">
        <f t="array" ref="U54">_xlfn.IFS(AND($A54&gt;$DA$6,$B54&gt;$DB$6),0,AND($W$2=$DA$2,$A54&gt;$DA$4),IF($Y53=0,0,(U53-((U53/$Y53)*$BY53))*(1+$DH$2)),AND($W$2=$DB$2,$B54&gt;$DB$4),IF($Y53=0,0,(U53-((U53/$Y53)*$BY53))*(1+$DH$2)),AND($W$2=$DA$2,OR($A54&gt;$DA$3,$A54&gt;$DA$6)),(U53*(1+$DH$1)),AND($W$2=$DB$2,OR($B54&gt;$DB$3,$B54&gt;$DB$6)),(U53*(1+$DH$1)),AND($W$2=$DA$2,$A54&lt;=$DA$3,$A54&lt;=$DA$4,$A54&lt;=$DA$5),(U53*(1+$DH$1))+(U$4),AND($W$2=$DB$2,$B54&lt;=$DB$3,$B54&lt;=$DB$4,$B54&lt;=$DB$5),(U53*(1+$DH$1))+(U$4))</f>
        <v>0</v>
      </c>
      <c r="V54" s="326" cm="1">
        <f t="array" ref="V54">_xlfn.IFS(AND($A54&gt;$DA$6,$B54&gt;$DB$6),0,AND($W$2=$DA$2,$A54&gt;$DA$4),IF($Y53=0,0,(V53-((V53/$Y53)*$BY53))*(1+$DH$2)),AND($W$2=$DB$2,$B54&gt;$DB$4),IF($Y53=0,0,(V53-((V53/$Y53)*$BY53))*(1+$DH$2)),AND($W$2=$DA$2,OR($A54&gt;$DA$3,$A54&gt;$DA$6)),(V53*(1+$DH$1)),AND($W$2=$DB$2,OR($B54&gt;$DB$3,$B54&gt;$DB$6)),(V53*(1+$DH$1)),AND($W$2=$DA$2,$A54&lt;=$DA$3,$A54&lt;=$DA$4,$A54&lt;=$DA$5),(V53*(1+$DH$1))+(V$4),AND($W$2=$DB$2,$B54&lt;=$DB$3,$B54&lt;=$DB$4,$B54&lt;=$DB$5),(V53*(1+$DH$1))+(V$4))</f>
        <v>0</v>
      </c>
      <c r="W54" s="326" cm="1">
        <f t="array" ref="W54">_xlfn.IFS(AND($A54&gt;$DA$6,$B54&gt;$DB$6),0,AND($W$2=$DA$2,$A54&gt;$DA$4),IF($Y53=0,0,(W53-((W53/$Y53)*$BY53))*(1+$DH$2)),AND($W$2=$DB$2,$B54&gt;$DB$4),IF($Y53=0,0,(W53-((W53/$Y53)*$BY53))*(1+$DH$2)),AND($W$2=$DA$2,OR($A54&gt;$DA$3,$A54&gt;$DA$6)),(W53*(1+$DH$1)),AND($W$2=$DB$2,OR($B54&gt;$DB$3,$B54&gt;$DB$6)),(W53*(1+$DH$1)),AND($W$2=$DA$2,$A54&lt;=$DA$3,$A54&lt;=$DA$4,$A54&lt;=$DA$5),(W53*(1+$DH$1))+(W$4),AND($W$2=$DB$2,$B54&lt;=$DB$3,$B54&lt;=$DB$4,$B54&lt;=$DB$5),(W53*(1+$DH$1))+(W$4))</f>
        <v>0</v>
      </c>
      <c r="Y54" s="1">
        <f t="shared" si="47"/>
        <v>0</v>
      </c>
      <c r="Z54" s="2">
        <f t="shared" si="37"/>
        <v>0</v>
      </c>
      <c r="AA54" s="375"/>
      <c r="AC54" s="326" cm="1">
        <f t="array" ref="AC54">_xlfn.IFS(AND(A54&gt;DA$6,B54&gt;DB$6),0,AND(A54&gt;DA$4,B54&gt;DB$4),IF(AG53=0,0,(AC53-((AC53/AG53)*CA53))*(1+DH$2)),OR(A54&gt;DA$3,A54&gt;DA$6),AC53*(1+DH$1),A54&gt;DA$4,(AC53-CA53)*(1+DH$2),AND(A54&lt;=DA$3,A54&lt;=DA$4,A54&lt;=DA$6),(AC53*(1+DH$1))+(AC$4))</f>
        <v>0</v>
      </c>
      <c r="AD54" s="375"/>
      <c r="AE54" s="326" cm="1">
        <f t="array" ref="AE54">_xlfn.IFS(AND(A54&gt;DA$6,B54&gt;DB$6),0,AND(A54&gt;DA$4,B54&gt;DB$4),IF(AG53=0,0,(AE53-((AE53/AG53)*CA53))*(1+DH$2)),OR(B54&gt;DB$3,B54&gt;DB$6),AE53*(1+DH$1),B54&gt;DB$4,(AE53-CA53)*(1+DH$2),AND(B54&lt;=DB$3,B54&lt;=DB$4,B54&lt;=DB$6),(AE53*(1+DH$1))+(AE$4))</f>
        <v>0</v>
      </c>
      <c r="AF54" s="375"/>
      <c r="AG54" s="1">
        <f t="shared" si="61"/>
        <v>0</v>
      </c>
      <c r="AH54" s="2">
        <f t="shared" si="48"/>
        <v>0</v>
      </c>
      <c r="AI54" s="14">
        <f t="shared" si="38"/>
        <v>0</v>
      </c>
      <c r="AK54" s="1">
        <f t="shared" si="49"/>
        <v>0</v>
      </c>
      <c r="AL54" s="14">
        <f t="shared" si="39"/>
        <v>0</v>
      </c>
      <c r="AM54" s="14" t="str">
        <f t="shared" si="23"/>
        <v/>
      </c>
      <c r="AO54" s="15">
        <f t="shared" si="40"/>
        <v>0</v>
      </c>
      <c r="AP54" s="1">
        <f>IF(AND(B54&gt;=$DB$6,A54&gt;=$DA$6),0,AP53*(1+Lookups!C$12))</f>
        <v>0</v>
      </c>
      <c r="AQ54" s="1">
        <f>IF(AND(B54&gt;=$DB$6,A54&gt;=$DA$6),0,AQ53*(1+Lookups!C$12))</f>
        <v>0</v>
      </c>
      <c r="AS54" s="1" cm="1">
        <f t="array" ref="AS54">_xlfn.IFS(OR(AS$6="",AND(A54&gt;=DA$6,B54&gt;=DB$6),AND(A54&lt;DA$4,B54&lt;DB$4)),0,AND(A54=DA$4,DA$4&lt;=DB$4),AS$6,AND(B54=DB$4,DA$4&gt;=DB$4),AS$6,OR(A54&gt;DA$4,B54&gt;DB$4),AS53*(1+Setup!C$103))</f>
        <v>0</v>
      </c>
      <c r="AT54" s="1" cm="1">
        <f t="array" ref="AT54">_xlfn.IFS(OR(AT$6="",AND(A54&gt;=DA$6,B54&gt;=DB$6),AND(A54&lt;DA$4,B54&lt;DB$4)),0,AND(A54=DA$4,DA$4&lt;=DB$4),AT$6,AND(B54=DB$4,DA$4&gt;=DB$4),AT$6,OR(A54&gt;DA$4,B54&gt;DB$4),AT53*(1+Setup!C$103))</f>
        <v>0</v>
      </c>
      <c r="AU54" s="1" cm="1">
        <f t="array" ref="AU54">_xlfn.IFS(OR(AU$6="",AND(A54&gt;=DA$6,B54&gt;=DB$6),AND(A54&lt;DA$4,B54&lt;DB$4)),0,AND(A54=DA$4,DA$4&lt;=DB$4),AU$6,AND(B54=DB$4,DA$4&gt;=DB$4),AU$6,OR(A54&gt;DA$4,B54&gt;DB$4),AU53*(1+Setup!C$103))</f>
        <v>0</v>
      </c>
      <c r="AV54" s="1" cm="1">
        <f t="array" ref="AV54">_xlfn.IFS(OR(AV$6="",AND(A54&gt;=DA$6,B54&gt;=DB$6),AND(A54&lt;DA$4,B54&lt;DB$4)),0,AND(A54=DA$4,DA$4&lt;=DB$4),AV$6,AND(B54=DB$4,DA$4&gt;=DB$4),AV$6,OR(A54&gt;DA$4,B54&gt;DB$4),AV53*(1+Setup!C$103))</f>
        <v>0</v>
      </c>
      <c r="AW54" s="1">
        <f t="shared" si="41"/>
        <v>0</v>
      </c>
      <c r="AY54" s="1" cm="1">
        <f t="array" ref="AY54">_xlfn.IFS(OR(AND(A54&gt;=DA$6,B54&gt;=DB$6),A54&lt;DA$5),0,AND(A54=DA$5,YEAR(C54)&gt;=Lookups!D$89),VLOOKUP(A54,Lookups!B$94:F$102,3),AND(A54=DA$5,YEAR(C54)&lt;Lookups!D$89),VLOOKUP(A54,Lookups!B$94:F$102,2),AND(A54&gt;DA$5,YEAR(C54)=Lookups!D$89),(AY53*Lookups!D$90)*(1+Lookups!C$20),AND(A54&gt;DA$5,YEAR(C54)&lt;&gt;Lookups!D$89),AY53*(1+Lookups!C$20))</f>
        <v>0</v>
      </c>
      <c r="AZ54" s="1" cm="1">
        <f t="array" ref="AZ54">_xlfn.IFS(OR(ISBLANK(Setup!K$91),Setup!K$91=0,AND(A54&gt;=DA$6,B54&gt;=DB$6),B54&lt;DB$5),0,AND(B54=DB$5,YEAR(C54)&gt;=Lookups!D$89),VLOOKUP(B54,Lookups!B$94:F$102,5),AND(B54=DB$5,YEAR(C54)&lt;Lookups!D$89),VLOOKUP(B54,Lookups!B$94:F$102,4),AND(B54&gt;DB$5,YEAR(C54)=Lookups!D$89),(AZ53*Lookups!D$90)*(1+Lookups!C$20),AND(B54&gt;DB$5,YEAR(C54)&lt;&gt;Lookups!D$89),AZ53*(1+Lookups!C$20))</f>
        <v>0</v>
      </c>
      <c r="BA54" s="65">
        <f>IF(OR(AY54&gt;0,AZ54&gt;0),(AY54+AZ54)*Lookups!D$120,0)</f>
        <v>0</v>
      </c>
      <c r="BB54" s="1" cm="1">
        <f t="array" ref="BB54">_xlfn.IFS(AND(A54&lt;DA$4,B54&lt;DB$4),0,OR(_xlfn.XOR(A54&gt;DA$6,B54&gt;DB$6),_xlfn.XOR(A54&gt;=DA$4,B54&gt;=DB$4)),IF(AP54-SUM(AW54,AY54:AZ54)&gt;0,AP54-SUM(AW54,AY54:AZ54),0),AQ54-SUM(AW54,AY54:AZ54)&gt;0, AQ54-SUM(AW54,AY54:AZ54),AQ54-SUM(AW54,AY54:AZ54)&lt;=0,0)</f>
        <v>0</v>
      </c>
      <c r="BD54" s="1" cm="1">
        <f t="array" ref="BD54">_xlfn.IFS(AND(A54&gt;=DA$6,B54&gt;=DB$6),0,AND(A54&gt;=DA$6,B54&gt;=Lookups!C$35),D54/VLOOKUP(B54,Lookups!C$37:D$67,2),A54&lt;Lookups!$C$35,0,A54&gt;=Lookups!C$35,D54/VLOOKUP(A54,Lookups!C$37:D$67,2))</f>
        <v>0</v>
      </c>
      <c r="BE54" s="1" cm="1">
        <f t="array" ref="BE54">_xlfn.IFS(AND(A54&gt;=DA$6,B54&gt;=DB$6),0,AND(B54&gt;=DB$6,A54&gt;=Lookups!C$35),F54/VLOOKUP(A54,Lookups!C$37:D$67,2),B54&lt;Lookups!$C$35,0,B54&gt;=Lookups!C$35,F54/VLOOKUP(B54,Lookups!C$37:D$67,2))</f>
        <v>0</v>
      </c>
      <c r="BF54" s="1" cm="1">
        <f t="array" ref="BF54">_xlfn.IFS($BB54&lt;=0,0,AND(A54&gt;=DA$4,B54&gt;=DB$4,$BB54*I54&lt;(BD54+BE54)),0,AND(A54&gt;=DA$4,B54&gt;=DB$4,H54&gt;=(BB54*I54)-BD54-BE54),(BB54*I54)-BD54-BE54,AND(A54&gt;=DA$4,B54&gt;=DB$4,H54&lt;(BB54*I54)-BD54-BE54),H54,AND(A54&gt;=DA$4,$BB54*I54&lt;(BD54)),0,AND(A54&gt;=DA$4,H54&gt;=(BB54*I54)-BD54),(BB54*I54)-BD54,AND(A54&gt;=DA$4,H54&lt;(BB54*I54)-BD54),H54,AND(B54&gt;=DB$4,$BB54*I54&lt;(BE54)),0,AND(B54&gt;=DB$4,H54&gt;=(BB54*I54)-BE54),(BB54*I54)-BE54,AND(B54&gt;=DB$4,H54&lt;(BB54*I54)-BE54),H54)</f>
        <v>0</v>
      </c>
      <c r="BG54" s="1">
        <f t="shared" si="53"/>
        <v>0</v>
      </c>
      <c r="BH54" s="1" cm="1">
        <f t="array" ref="BH54">_xlfn.IFS(OR(D54=0,A54&lt;DA$4),0,AND(A54&gt;=DA$4,B54&gt;=DB$4,D54&lt;BD54+($BF54*(D54/$H54))+(-$BP54*(D54/$H54))),D54,AND(A54&gt;=DA$4,B54&gt;=DB$4,$BB54&gt;$BG54),BD54+($BF54*(D54/$H54))+(-$BP54*(D54/$H54)),AND(A54&gt;=DA$4,B54&gt;=DB$4,OR(A54&gt;DA$6, B54&gt;DB$6),$AP54-SUM($AW54,$AY54:$AZ54)&lt;0),BD54+($BF54*(D54/$H54))+(-$BP54*(D54/$H54))+(BP54*(D54/$H54)),AND(A54&gt;=DA$4,B54&gt;=DB$4,$AQ54-SUM($AW54,$AY54:$AZ54)&lt;0),BD54+($BF54*(D54/$H54))+(-$BP54*(D54/$H54))+(BP54*(D54/$H54)),AND(A54&gt;=DA$4,D54&lt;BD54+$BF54-$BP54),D54,AND(A54&gt;=DA$4,$AP54-SUM($AW54,$AY54:$AZ54)&lt;0),BD54+($BF54*(D54/$H54))+(-$BP54*(D54/$H54))+(BP54*(D54/$H54)),A54&gt;=DA$4,BD54+$BF54-$BP54)</f>
        <v>0</v>
      </c>
      <c r="BI54" s="1" cm="1">
        <f t="array" ref="BI54">_xlfn.IFS(OR(F54=0,B54&lt;DB$4),0,AND(A54&gt;=DA$4,B54&gt;=DB$4,F54&lt;BE54+($BF54*(F54/$H54))+(-$BP54*(F54/$H54))),F54,AND(A54&gt;=DA$4,B54&gt;=DB$4,$BB54&gt;$BG54),BE54+($BF54*(F54/$H54))+(-$BP54*(F54/$H54)),AND(A54&gt;=DA$4,B54&gt;=DB$4,OR(A54&gt;DA$6, B54&gt;DB$6),$AP54-SUM($AW54,$AY54:$AZ54)&lt;0),BE54+($BF54*(F54/$H54))+(-$BP54*(F54/$H54))+(BP54*(F54/$H54)),AND(A54&gt;=DA$4,B54&gt;=DB$4,$AQ54-SUM($AW54,$AY54:$AZ54)&lt;0),BE54+($BF54*(F54/$H54))+(-$BP54*(F54/$H54))+(BP54*(F54/$H54)),AND(B54&gt;=DB$4,F54&lt;BE54+$BF54-$BP54),F54,AND(B54&gt;=DB$4,$AP54-SUM($AW54,$AY54:$AZ54)&lt;0),BE54+($BF54*(F54/$H54))+(-$BP54*(F54/$H54))+(BP54*(F54/$H54)),B54&gt;=DB$4,BE54+$BF54-$BP54)</f>
        <v>0</v>
      </c>
      <c r="BJ54" s="64" cm="1">
        <f t="array" ref="BJ54">IF(AW54+BA54+BG54&gt;0, AW54+BA54+BG54-_xlfn.IFS(AND(A54&gt;=65,B54&gt;=65),VLOOKUP(Setup!I$4,Lookups!C$133:F$136,4),OR(A54&gt;=65,B54&gt;=65),VLOOKUP(Setup!I$4,Lookups!C$133:E$136,3),AND(A54&lt;65,B54&lt;65),VLOOKUP(Setup!I$4,Lookups!C$133:D$136,2)),0)</f>
        <v>0</v>
      </c>
      <c r="BK54" s="1" cm="1">
        <f t="array" ref="BK54">IF(BJ54&gt;0,_xlfn.IFS(Setup!I$4=Lookups!D$109,-_xlfn.IFS($BJ54&gt;=Lookups!D$157, Lookups!F$157+($BJ54-Lookups!D$157)*Lookups!G$157,$BJ54&gt;=Lookups!D$156, Lookups!F$156+($BJ54-Lookups!D$156)*Lookups!G$156,$BJ54&gt;=Lookups!D$155, Lookups!F$155+($BJ54-Lookups!D$155)*Lookups!G$155,$BJ54&gt;=Lookups!D$154, Lookups!F$154+($BJ54-Lookups!D$154)*Lookups!G$154,$BJ54&gt;=Lookups!D$153, Lookups!F$153+($BJ54-Lookups!D$153)*Lookups!G$153,$BJ54&gt;=Lookups!D$152, Lookups!F$152+($BJ54-Lookups!D$152)*Lookups!G$152,$BJ54&lt;Lookups!D$152,$BJ54*Lookups!G$151),Setup!I$4=Lookups!D$110,-_xlfn.IFS($BJ54&gt;=Lookups!D$167, Lookups!F$167+($BJ54-Lookups!D$167)*Lookups!G$167,$BJ54&gt;=Lookups!D$166, Lookups!F$166+($BJ54-Lookups!D$166)*Lookups!G$166,$BJ54&gt;=Lookups!D$165, Lookups!F$165+($BJ54-Lookups!D$165)*Lookups!G$165,$BJ54&gt;=Lookups!D$164, Lookups!F$164+($BJ54-Lookups!D$164)*Lookups!G$164,$BJ54&gt;=Lookups!D$163, Lookups!F$163+($BJ54-Lookups!D$163)*Lookups!G$163,$BJ54&gt;=Lookups!D$162, Lookups!F$162+($BJ54-Lookups!D$162)*Lookups!G$162,$BJ54&lt;Lookups!D$162,$BJ54*Lookups!G$161),Setup!I$4=Lookups!D$111,-_xlfn.IFS($BJ54&gt;=Lookups!D$177, Lookups!F$177+($BJ54-Lookups!D$177)*Lookups!G$177,$BJ54&gt;=Lookups!D$176, Lookups!F$176+($BJ54-Lookups!D$176)*Lookups!G$176,$BJ54&gt;=Lookups!D$175, Lookups!F$175+($BJ54-Lookups!D$175)*Lookups!G$175,$BJ54&gt;=Lookups!D$174, Lookups!F$174+($BJ54-Lookups!D$174)*Lookups!G$174,$BJ54&gt;=Lookups!D$173, Lookups!F$173+($BJ54-Lookups!D$173)*Lookups!G$173,$BJ54&gt;=Lookups!D$172, Lookups!F$172+($BJ54-Lookups!D$172)*Lookups!G$172,$BJ54&lt;Lookups!D$172,$BJ54*Lookups!G$171), Setup!I$4=Lookups!D$112,-_xlfn.IFS($BJ54&gt;=Lookups!D$187, Lookups!F$187+($BJ54-Lookups!D$187)*Lookups!G$187,$BJ54&gt;=Lookups!D$186, Lookups!F$186+($BJ54-Lookups!D$186)*Lookups!G$186,$BJ54&gt;=Lookups!D$185, Lookups!F$185+($BJ54-Lookups!D$185)*Lookups!G$185,$BJ54&gt;=Lookups!D$184, Lookups!F$184+($BJ54-Lookups!D$184)*Lookups!G$184,$BJ54&gt;=Lookups!D$183, Lookups!F$183+($BJ54-Lookups!D$183)*Lookups!G$183,$BJ54&gt;=Lookups!D$182, Lookups!F$182+($BJ54-Lookups!D$182)*Lookups!G$182,$BJ54&lt;Lookups!D$182,$BJ54*Lookups!G$181)),0)</f>
        <v>0</v>
      </c>
      <c r="BL54" s="18">
        <f t="shared" si="54"/>
        <v>0</v>
      </c>
      <c r="BM54" s="134">
        <f t="shared" si="55"/>
        <v>0</v>
      </c>
      <c r="BN54" s="134" cm="1">
        <f t="array" aca="1" ref="BN54" ca="1">INDIRECT(Setup!I$6&amp;"!"&amp;"A"&amp;ROW())</f>
        <v>0</v>
      </c>
      <c r="BO54" s="134">
        <f t="shared" si="56"/>
        <v>0</v>
      </c>
      <c r="BP54" s="1">
        <f t="shared" si="57"/>
        <v>0</v>
      </c>
      <c r="BQ54" s="1">
        <f>IF(AND(BH54=0,BI54=0),BB54-BP54,BB54-BG54)</f>
        <v>0</v>
      </c>
      <c r="BS54" s="1">
        <f>IF(Y54=0,0,IF(BQ54&gt;0,IF(Y54&gt;=BQ54*(Y54/(AG54+Y54)),BQ54*(Y54/(AG54+Y54)),Y54),0))</f>
        <v>0</v>
      </c>
      <c r="BT54" s="1" cm="1">
        <f t="array" ref="BT54">-IF(BS54&gt;0,_xlfn.IFS((AW54+BA54+BG54+BS54)&gt;=VLOOKUP(Setup!I$4,Lookups!C$210:E$213,3),BS54*Lookups!D$203,(AW54+BA54+BG54+BS54)&gt;=VLOOKUP(Setup!I$4,Lookups!C$210:E$213,2),BS54*Lookups!D$197,(AW54+BA54+BG54+BS54)&lt;VLOOKUP(Setup!I$4,Lookups!C$210:E$213,2),0),0)</f>
        <v>0</v>
      </c>
      <c r="BU54" s="18">
        <f t="shared" si="51"/>
        <v>0</v>
      </c>
      <c r="BV54" s="1">
        <f t="shared" si="52"/>
        <v>0</v>
      </c>
      <c r="BW54" s="1" cm="1">
        <f t="array" aca="1" ref="BW54" ca="1">INDIRECT(Setup!I$6&amp;"!"&amp;"A"&amp;ROW()+100)</f>
        <v>0</v>
      </c>
      <c r="BX54" s="1">
        <f t="shared" ca="1" si="44"/>
        <v>0</v>
      </c>
      <c r="BY54" s="1">
        <f t="shared" ca="1" si="45"/>
        <v>0</v>
      </c>
      <c r="CA54" s="1">
        <f t="shared" si="59"/>
        <v>0</v>
      </c>
      <c r="CC54" s="1" cm="1">
        <f t="array" ref="CC54">_xlfn.IFS(AND(A54&lt;$DA$4,B54&lt;$DB$4),0,AND(AND(A54&gt;=$DA$4,B54&gt;=$DB$4),AND(A54&lt;=$DA$6,B54&lt;=$DB$6),AND(BH54=0,BI54=0)),SUM(AW54,AY54:AZ54,BD54:BF54,BP54,BS54,CA54)-AQ54,AND(AND(A54&gt;=$DA$4,B54&gt;=$DB$4),AND(A54&lt;=$DA$6,B54&lt;=$DB$6)),SUM(AW54,AY54:AZ54,BD54:BF54,BS54,CA54)-AQ54,AND(OR(A54&gt;=$DA$4,B54&gt;=$DB$4),AND(BH54=0,BI54=0)),SUM(AW54,AY54:AZ54,BD54:BF54,BP54,BS54,CA54)-AP54,OR(A54&gt;=$DA$4,B54&gt;=$DB$4),SUM(AW54,AY54:AZ54,BD54:BF54,BS54,CA54)-AP54)</f>
        <v>0</v>
      </c>
      <c r="CD54" s="142" t="str">
        <f t="shared" si="30"/>
        <v/>
      </c>
    </row>
    <row r="55" spans="1:82" x14ac:dyDescent="0.3">
      <c r="A55" s="354">
        <f t="shared" si="62"/>
        <v>48</v>
      </c>
      <c r="B55" s="354">
        <f t="shared" si="63"/>
        <v>48</v>
      </c>
      <c r="C55" s="359">
        <f t="shared" si="33"/>
        <v>17533</v>
      </c>
      <c r="D55" s="326" cm="1">
        <f t="array" ref="D55">_xlfn.IFS(AND(A55&gt;DA$6,B55&gt;DB$6),0,AND(A55&gt;DA$3,A55&lt;=DA$4),D54*(1+DH$1),OR(A55&gt;DA$6,A55&gt;DA$4),(D54-BH54)*(1+DH$2),A55&lt;=DA$4,(D54*(1+DH$1))+(D$4))</f>
        <v>0</v>
      </c>
      <c r="E55" s="375"/>
      <c r="F55" s="326" cm="1">
        <f t="array" ref="F55">_xlfn.IFS(AND(A55&gt;DA$6,B55&gt;DB$6),0,AND(B55&gt;DB$3,B55&lt;=DB$4),F54*(1+DH$1),OR(B55&gt;DB$6,B55&gt;DB$4),(F54-BI54)*(1+DH$2),B55&lt;=DB$4,(F54*(1+DH$1))+(F$4))</f>
        <v>0</v>
      </c>
      <c r="G55" s="375"/>
      <c r="H55" s="1">
        <f t="shared" si="60"/>
        <v>0</v>
      </c>
      <c r="I55" s="2">
        <f t="shared" si="36"/>
        <v>0</v>
      </c>
      <c r="J55" s="14">
        <f t="shared" si="64"/>
        <v>0</v>
      </c>
      <c r="L55" s="402" cm="1">
        <f t="array" ref="L55">_xlfn.IFS(AND(A55&gt;DA$6,B55&gt;DB$6),0,A55&lt;DA$6,0,A55=DA$6,L$4,AND(A55&gt;DA$6,B55&lt;=DB$4),L54*(1+DH$1),AND(A55&gt;DA$6,B55&gt;DB$4),IF(Y54=0,0,(L54-((L54/Y54)*BY54))*(1+DH$2)))</f>
        <v>0</v>
      </c>
      <c r="M55" s="402" cm="1">
        <f t="array" ref="M55">_xlfn.IFS(AND(A55&gt;DA$6,B55&gt;DB$6),0,B55&lt;DB$6,0,B55=DB$6,M$4,AND(B55&gt;DB$6,A55&lt;=DA$4),M54*(1+DH$1),AND(A55&gt;DA$4,B55&gt;DB$6),IF(Y54=0,0,(M54-((M54/Y54)*BY54))*(1+DH$2)))</f>
        <v>0</v>
      </c>
      <c r="N55" s="327"/>
      <c r="O55" s="327" cm="1">
        <f t="array" ref="O55">_xlfn.IFS(OR(ISBLANK(Setup!C$63),Setup!C$63&gt;YEAR(C55),AND(A55&gt;DA$6,B55&gt;DB$6),ISBLANK(Y54)),0,Setup!C$63=YEAR(C55),Setup!C$62,AND(OR(A55&lt;=DA$4,B55&lt;=DB$4),Setup!C$63&lt;YEAR(C55)),O54*(1+DH$1),AND(A55&gt;DA$4,B55&gt;DB$4,Setup!C$63&lt;YEAR(C55)),IF(Y54=0,0,(O54-((O54/Y54)*BY54))*(1+DH$2)))</f>
        <v>0</v>
      </c>
      <c r="P55" s="327" cm="1">
        <f t="array" ref="P55">_xlfn.IFS(OR(ISBLANK(Setup!C$67),Setup!C$67&gt;YEAR(C55),AND(A55&gt;DA$6,B55&gt;DB$6)),0,Setup!C$67=YEAR(C55),Setup!C$66,AND(OR(A55&lt;=DA$4,B55&lt;=DB$4),Setup!C$67&lt;YEAR(C55)),P54*(1+DH$1),AND(A55&gt;DA$4,B55&gt;DB$4,Setup!C$67&lt;YEAR(C55)),IF(Y54=0,0,(P54-((P54/Y54)*BY54))*(1+DH$2)))</f>
        <v>0</v>
      </c>
      <c r="Q55" s="327" cm="1">
        <f t="array" ref="Q55">_xlfn.IFS(OR(ISBLANK(Setup!C$71),Setup!C$71&gt;YEAR(C55),AND(A55&gt;DA$6,B55&gt;DB$6)),0,Setup!C$71=YEAR(C55),Setup!C$70,AND(OR(A55&lt;=DA$4,B55&lt;=DB$4),Setup!C$71&lt;YEAR(C55)),Q54*(1+DH$1),AND(A55&gt;DA$4,B55&gt;DB$4,Setup!C$71&lt;YEAR(C55)),IF(Y54=0,0,(Q54-((Q54/Y54)*BY54))*(1+DH$2)))</f>
        <v>0</v>
      </c>
      <c r="R55" s="327" cm="1">
        <f t="array" ref="R55">_xlfn.IFS(OR(ISBLANK(Setup!C$75),Setup!C$75&gt;YEAR(C55),AND(A55&gt;DA$6,B55&gt;DB$6)),0,Setup!C$75=YEAR(C55),Setup!C$74,AND(OR(A55&lt;=DA$4,B55&lt;=DB$4),Setup!C$75&lt;YEAR(C55)),R54*(1+DH$1),AND(A55&gt;DA$4,B55&gt;DB$4,Setup!C$75&lt;YEAR(C55)),IF(Y54=0,0,(R54-((R54/Y54)*BY54))*(1+DH$2)))</f>
        <v>0</v>
      </c>
      <c r="S55" s="327"/>
      <c r="T55" s="326" cm="1">
        <f t="array" ref="T55">_xlfn.IFS(AND($A55&gt;$DA$6,$B55&gt;$DB$6),0,AND($W$2=$DA$2,$A55&gt;$DA$4),IF($Y54=0,0,(T54-((T54/$Y54)*$BY54))*(1+$DH$2)),AND($W$2=$DB$2,$B55&gt;$DB$4),IF($Y54=0,0,(T54-((T54/$Y54)*$BY54))*(1+$DH$2)),AND($W$2=$DA$2,OR($A55&gt;$DA$3,$A55&gt;$DA$6)),(T54*(1+$DH$1)),AND($W$2=$DB$2,OR($B55&gt;$DB$3,$B55&gt;$DB$6)),(T54*(1+$DH$1)),AND($W$2=$DA$2,$A55&lt;=$DA$3,$A55&lt;=$DA$4,$A55&lt;=$DA$5),(T54*(1+$DH$1))+(T$4),AND($W$2=$DB$2,$B55&lt;=$DB$3,$B55&lt;=$DB$4,$B55&lt;=$DB$5),(T54*(1+$DH$1))+(T$4))</f>
        <v>0</v>
      </c>
      <c r="U55" s="326" cm="1">
        <f t="array" ref="U55">_xlfn.IFS(AND($A55&gt;$DA$6,$B55&gt;$DB$6),0,AND($W$2=$DA$2,$A55&gt;$DA$4),IF($Y54=0,0,(U54-((U54/$Y54)*$BY54))*(1+$DH$2)),AND($W$2=$DB$2,$B55&gt;$DB$4),IF($Y54=0,0,(U54-((U54/$Y54)*$BY54))*(1+$DH$2)),AND($W$2=$DA$2,OR($A55&gt;$DA$3,$A55&gt;$DA$6)),(U54*(1+$DH$1)),AND($W$2=$DB$2,OR($B55&gt;$DB$3,$B55&gt;$DB$6)),(U54*(1+$DH$1)),AND($W$2=$DA$2,$A55&lt;=$DA$3,$A55&lt;=$DA$4,$A55&lt;=$DA$5),(U54*(1+$DH$1))+(U$4),AND($W$2=$DB$2,$B55&lt;=$DB$3,$B55&lt;=$DB$4,$B55&lt;=$DB$5),(U54*(1+$DH$1))+(U$4))</f>
        <v>0</v>
      </c>
      <c r="V55" s="326" cm="1">
        <f t="array" ref="V55">_xlfn.IFS(AND($A55&gt;$DA$6,$B55&gt;$DB$6),0,AND($W$2=$DA$2,$A55&gt;$DA$4),IF($Y54=0,0,(V54-((V54/$Y54)*$BY54))*(1+$DH$2)),AND($W$2=$DB$2,$B55&gt;$DB$4),IF($Y54=0,0,(V54-((V54/$Y54)*$BY54))*(1+$DH$2)),AND($W$2=$DA$2,OR($A55&gt;$DA$3,$A55&gt;$DA$6)),(V54*(1+$DH$1)),AND($W$2=$DB$2,OR($B55&gt;$DB$3,$B55&gt;$DB$6)),(V54*(1+$DH$1)),AND($W$2=$DA$2,$A55&lt;=$DA$3,$A55&lt;=$DA$4,$A55&lt;=$DA$5),(V54*(1+$DH$1))+(V$4),AND($W$2=$DB$2,$B55&lt;=$DB$3,$B55&lt;=$DB$4,$B55&lt;=$DB$5),(V54*(1+$DH$1))+(V$4))</f>
        <v>0</v>
      </c>
      <c r="W55" s="326" cm="1">
        <f t="array" ref="W55">_xlfn.IFS(AND($A55&gt;$DA$6,$B55&gt;$DB$6),0,AND($W$2=$DA$2,$A55&gt;$DA$4),IF($Y54=0,0,(W54-((W54/$Y54)*$BY54))*(1+$DH$2)),AND($W$2=$DB$2,$B55&gt;$DB$4),IF($Y54=0,0,(W54-((W54/$Y54)*$BY54))*(1+$DH$2)),AND($W$2=$DA$2,OR($A55&gt;$DA$3,$A55&gt;$DA$6)),(W54*(1+$DH$1)),AND($W$2=$DB$2,OR($B55&gt;$DB$3,$B55&gt;$DB$6)),(W54*(1+$DH$1)),AND($W$2=$DA$2,$A55&lt;=$DA$3,$A55&lt;=$DA$4,$A55&lt;=$DA$5),(W54*(1+$DH$1))+(W$4),AND($W$2=$DB$2,$B55&lt;=$DB$3,$B55&lt;=$DB$4,$B55&lt;=$DB$5),(W54*(1+$DH$1))+(W$4))</f>
        <v>0</v>
      </c>
      <c r="Y55" s="1">
        <f t="shared" si="47"/>
        <v>0</v>
      </c>
      <c r="Z55" s="2">
        <f t="shared" si="37"/>
        <v>0</v>
      </c>
      <c r="AA55" s="375"/>
      <c r="AC55" s="326" cm="1">
        <f t="array" ref="AC55">_xlfn.IFS(AND(A55&gt;DA$6,B55&gt;DB$6),0,AND(A55&gt;DA$4,B55&gt;DB$4),IF(AG54=0,0,(AC54-((AC54/AG54)*CA54))*(1+DH$2)),OR(A55&gt;DA$3,A55&gt;DA$6),AC54*(1+DH$1),A55&gt;DA$4,(AC54-CA54)*(1+DH$2),AND(A55&lt;=DA$3,A55&lt;=DA$4,A55&lt;=DA$6),(AC54*(1+DH$1))+(AC$4))</f>
        <v>0</v>
      </c>
      <c r="AD55" s="375"/>
      <c r="AE55" s="326" cm="1">
        <f t="array" ref="AE55">_xlfn.IFS(AND(A55&gt;DA$6,B55&gt;DB$6),0,AND(A55&gt;DA$4,B55&gt;DB$4),IF(AG54=0,0,(AE54-((AE54/AG54)*CA54))*(1+DH$2)),OR(B55&gt;DB$3,B55&gt;DB$6),AE54*(1+DH$1),B55&gt;DB$4,(AE54-CA54)*(1+DH$2),AND(B55&lt;=DB$3,B55&lt;=DB$4,B55&lt;=DB$6),(AE54*(1+DH$1))+(AE$4))</f>
        <v>0</v>
      </c>
      <c r="AF55" s="375"/>
      <c r="AG55" s="1">
        <f t="shared" si="61"/>
        <v>0</v>
      </c>
      <c r="AH55" s="2">
        <f t="shared" si="48"/>
        <v>0</v>
      </c>
      <c r="AI55" s="14">
        <f t="shared" si="38"/>
        <v>0</v>
      </c>
      <c r="AK55" s="1">
        <f t="shared" si="49"/>
        <v>0</v>
      </c>
      <c r="AL55" s="14">
        <f t="shared" si="39"/>
        <v>0</v>
      </c>
      <c r="AM55" s="14" t="str">
        <f t="shared" si="23"/>
        <v/>
      </c>
      <c r="AO55" s="15">
        <f t="shared" si="40"/>
        <v>0</v>
      </c>
      <c r="AP55" s="1">
        <f>IF(AND(B55&gt;=$DB$6,A55&gt;=$DA$6),0,AP54*(1+Lookups!C$12))</f>
        <v>0</v>
      </c>
      <c r="AQ55" s="1">
        <f>IF(AND(B55&gt;=$DB$6,A55&gt;=$DA$6),0,AQ54*(1+Lookups!C$12))</f>
        <v>0</v>
      </c>
      <c r="AS55" s="1" cm="1">
        <f t="array" ref="AS55">_xlfn.IFS(OR(AS$6="",AND(A55&gt;=DA$6,B55&gt;=DB$6),AND(A55&lt;DA$4,B55&lt;DB$4)),0,AND(A55=DA$4,DA$4&lt;=DB$4),AS$6,AND(B55=DB$4,DA$4&gt;=DB$4),AS$6,OR(A55&gt;DA$4,B55&gt;DB$4),AS54*(1+Setup!C$103))</f>
        <v>0</v>
      </c>
      <c r="AT55" s="1" cm="1">
        <f t="array" ref="AT55">_xlfn.IFS(OR(AT$6="",AND(A55&gt;=DA$6,B55&gt;=DB$6),AND(A55&lt;DA$4,B55&lt;DB$4)),0,AND(A55=DA$4,DA$4&lt;=DB$4),AT$6,AND(B55=DB$4,DA$4&gt;=DB$4),AT$6,OR(A55&gt;DA$4,B55&gt;DB$4),AT54*(1+Setup!C$103))</f>
        <v>0</v>
      </c>
      <c r="AU55" s="1" cm="1">
        <f t="array" ref="AU55">_xlfn.IFS(OR(AU$6="",AND(A55&gt;=DA$6,B55&gt;=DB$6),AND(A55&lt;DA$4,B55&lt;DB$4)),0,AND(A55=DA$4,DA$4&lt;=DB$4),AU$6,AND(B55=DB$4,DA$4&gt;=DB$4),AU$6,OR(A55&gt;DA$4,B55&gt;DB$4),AU54*(1+Setup!C$103))</f>
        <v>0</v>
      </c>
      <c r="AV55" s="1" cm="1">
        <f t="array" ref="AV55">_xlfn.IFS(OR(AV$6="",AND(A55&gt;=DA$6,B55&gt;=DB$6),AND(A55&lt;DA$4,B55&lt;DB$4)),0,AND(A55=DA$4,DA$4&lt;=DB$4),AV$6,AND(B55=DB$4,DA$4&gt;=DB$4),AV$6,OR(A55&gt;DA$4,B55&gt;DB$4),AV54*(1+Setup!C$103))</f>
        <v>0</v>
      </c>
      <c r="AW55" s="1">
        <f t="shared" si="41"/>
        <v>0</v>
      </c>
      <c r="AY55" s="1" cm="1">
        <f t="array" ref="AY55">_xlfn.IFS(OR(AND(A55&gt;=DA$6,B55&gt;=DB$6),A55&lt;DA$5),0,AND(A55=DA$5,YEAR(C55)&gt;=Lookups!D$89),VLOOKUP(A55,Lookups!B$94:F$102,3),AND(A55=DA$5,YEAR(C55)&lt;Lookups!D$89),VLOOKUP(A55,Lookups!B$94:F$102,2),AND(A55&gt;DA$5,YEAR(C55)=Lookups!D$89),(AY54*Lookups!D$90)*(1+Lookups!C$20),AND(A55&gt;DA$5,YEAR(C55)&lt;&gt;Lookups!D$89),AY54*(1+Lookups!C$20))</f>
        <v>0</v>
      </c>
      <c r="AZ55" s="1" cm="1">
        <f t="array" ref="AZ55">_xlfn.IFS(OR(ISBLANK(Setup!K$91),Setup!K$91=0,AND(A55&gt;=DA$6,B55&gt;=DB$6),B55&lt;DB$5),0,AND(B55=DB$5,YEAR(C55)&gt;=Lookups!D$89),VLOOKUP(B55,Lookups!B$94:F$102,5),AND(B55=DB$5,YEAR(C55)&lt;Lookups!D$89),VLOOKUP(B55,Lookups!B$94:F$102,4),AND(B55&gt;DB$5,YEAR(C55)=Lookups!D$89),(AZ54*Lookups!D$90)*(1+Lookups!C$20),AND(B55&gt;DB$5,YEAR(C55)&lt;&gt;Lookups!D$89),AZ54*(1+Lookups!C$20))</f>
        <v>0</v>
      </c>
      <c r="BA55" s="65">
        <f>IF(OR(AY55&gt;0,AZ55&gt;0),(AY55+AZ55)*Lookups!D$120,0)</f>
        <v>0</v>
      </c>
      <c r="BB55" s="1" cm="1">
        <f t="array" ref="BB55">_xlfn.IFS(AND(A55&lt;DA$4,B55&lt;DB$4),0,OR(_xlfn.XOR(A55&gt;DA$6,B55&gt;DB$6),_xlfn.XOR(A55&gt;=DA$4,B55&gt;=DB$4)),IF(AP55-SUM(AW55,AY55:AZ55)&gt;0,AP55-SUM(AW55,AY55:AZ55),0),AQ55-SUM(AW55,AY55:AZ55)&gt;0, AQ55-SUM(AW55,AY55:AZ55),AQ55-SUM(AW55,AY55:AZ55)&lt;=0,0)</f>
        <v>0</v>
      </c>
      <c r="BD55" s="1" cm="1">
        <f t="array" ref="BD55">_xlfn.IFS(AND(A55&gt;=DA$6,B55&gt;=DB$6),0,AND(A55&gt;=DA$6,B55&gt;=Lookups!C$35),D55/VLOOKUP(B55,Lookups!C$37:D$67,2),A55&lt;Lookups!$C$35,0,A55&gt;=Lookups!C$35,D55/VLOOKUP(A55,Lookups!C$37:D$67,2))</f>
        <v>0</v>
      </c>
      <c r="BE55" s="1" cm="1">
        <f t="array" ref="BE55">_xlfn.IFS(AND(A55&gt;=DA$6,B55&gt;=DB$6),0,AND(B55&gt;=DB$6,A55&gt;=Lookups!C$35),F55/VLOOKUP(A55,Lookups!C$37:D$67,2),B55&lt;Lookups!$C$35,0,B55&gt;=Lookups!C$35,F55/VLOOKUP(B55,Lookups!C$37:D$67,2))</f>
        <v>0</v>
      </c>
      <c r="BF55" s="1" cm="1">
        <f t="array" ref="BF55">_xlfn.IFS($BB55&lt;=0,0,AND(A55&gt;=DA$4,B55&gt;=DB$4,$BB55*I55&lt;(BD55+BE55)),0,AND(A55&gt;=DA$4,B55&gt;=DB$4,H55&gt;=(BB55*I55)-BD55-BE55),(BB55*I55)-BD55-BE55,AND(A55&gt;=DA$4,B55&gt;=DB$4,H55&lt;(BB55*I55)-BD55-BE55),H55,AND(A55&gt;=DA$4,$BB55*I55&lt;(BD55)),0,AND(A55&gt;=DA$4,H55&gt;=(BB55*I55)-BD55),(BB55*I55)-BD55,AND(A55&gt;=DA$4,H55&lt;(BB55*I55)-BD55),H55,AND(B55&gt;=DB$4,$BB55*I55&lt;(BE55)),0,AND(B55&gt;=DB$4,H55&gt;=(BB55*I55)-BE55),(BB55*I55)-BE55,AND(B55&gt;=DB$4,H55&lt;(BB55*I55)-BE55),H55)</f>
        <v>0</v>
      </c>
      <c r="BG55" s="1">
        <f t="shared" si="53"/>
        <v>0</v>
      </c>
      <c r="BH55" s="1" cm="1">
        <f t="array" ref="BH55">_xlfn.IFS(OR(D55=0,A55&lt;DA$4),0,AND(A55&gt;=DA$4,B55&gt;=DB$4,D55&lt;BD55+($BF55*(D55/$H55))+(-$BP55*(D55/$H55))),D55,AND(A55&gt;=DA$4,B55&gt;=DB$4,$BB55&gt;$BG55),BD55+($BF55*(D55/$H55))+(-$BP55*(D55/$H55)),AND(A55&gt;=DA$4,B55&gt;=DB$4,OR(A55&gt;DA$6, B55&gt;DB$6),$AP55-SUM($AW55,$AY55:$AZ55)&lt;0),BD55+($BF55*(D55/$H55))+(-$BP55*(D55/$H55))+(BP55*(D55/$H55)),AND(A55&gt;=DA$4,B55&gt;=DB$4,$AQ55-SUM($AW55,$AY55:$AZ55)&lt;0),BD55+($BF55*(D55/$H55))+(-$BP55*(D55/$H55))+(BP55*(D55/$H55)),AND(A55&gt;=DA$4,D55&lt;BD55+$BF55-$BP55),D55,AND(A55&gt;=DA$4,$AP55-SUM($AW55,$AY55:$AZ55)&lt;0),BD55+($BF55*(D55/$H55))+(-$BP55*(D55/$H55))+(BP55*(D55/$H55)),A55&gt;=DA$4,BD55+$BF55-$BP55)</f>
        <v>0</v>
      </c>
      <c r="BI55" s="1" cm="1">
        <f t="array" ref="BI55">_xlfn.IFS(OR(F55=0,B55&lt;DB$4),0,AND(A55&gt;=DA$4,B55&gt;=DB$4,F55&lt;BE55+($BF55*(F55/$H55))+(-$BP55*(F55/$H55))),F55,AND(A55&gt;=DA$4,B55&gt;=DB$4,$BB55&gt;$BG55),BE55+($BF55*(F55/$H55))+(-$BP55*(F55/$H55)),AND(A55&gt;=DA$4,B55&gt;=DB$4,OR(A55&gt;DA$6, B55&gt;DB$6),$AP55-SUM($AW55,$AY55:$AZ55)&lt;0),BE55+($BF55*(F55/$H55))+(-$BP55*(F55/$H55))+(BP55*(F55/$H55)),AND(A55&gt;=DA$4,B55&gt;=DB$4,$AQ55-SUM($AW55,$AY55:$AZ55)&lt;0),BE55+($BF55*(F55/$H55))+(-$BP55*(F55/$H55))+(BP55*(F55/$H55)),AND(B55&gt;=DB$4,F55&lt;BE55+$BF55-$BP55),F55,AND(B55&gt;=DB$4,$AP55-SUM($AW55,$AY55:$AZ55)&lt;0),BE55+($BF55*(F55/$H55))+(-$BP55*(F55/$H55))+(BP55*(F55/$H55)),B55&gt;=DB$4,BE55+$BF55-$BP55)</f>
        <v>0</v>
      </c>
      <c r="BJ55" s="64" cm="1">
        <f t="array" ref="BJ55">IF(AW55+BA55+BG55&gt;0, AW55+BA55+BG55-_xlfn.IFS(AND(A55&gt;=65,B55&gt;=65),VLOOKUP(Setup!I$4,Lookups!C$133:F$136,4),OR(A55&gt;=65,B55&gt;=65),VLOOKUP(Setup!I$4,Lookups!C$133:E$136,3),AND(A55&lt;65,B55&lt;65),VLOOKUP(Setup!I$4,Lookups!C$133:D$136,2)),0)</f>
        <v>0</v>
      </c>
      <c r="BK55" s="1" cm="1">
        <f t="array" ref="BK55">IF(BJ55&gt;0,_xlfn.IFS(Setup!I$4=Lookups!D$109,-_xlfn.IFS($BJ55&gt;=Lookups!D$157, Lookups!F$157+($BJ55-Lookups!D$157)*Lookups!G$157,$BJ55&gt;=Lookups!D$156, Lookups!F$156+($BJ55-Lookups!D$156)*Lookups!G$156,$BJ55&gt;=Lookups!D$155, Lookups!F$155+($BJ55-Lookups!D$155)*Lookups!G$155,$BJ55&gt;=Lookups!D$154, Lookups!F$154+($BJ55-Lookups!D$154)*Lookups!G$154,$BJ55&gt;=Lookups!D$153, Lookups!F$153+($BJ55-Lookups!D$153)*Lookups!G$153,$BJ55&gt;=Lookups!D$152, Lookups!F$152+($BJ55-Lookups!D$152)*Lookups!G$152,$BJ55&lt;Lookups!D$152,$BJ55*Lookups!G$151),Setup!I$4=Lookups!D$110,-_xlfn.IFS($BJ55&gt;=Lookups!D$167, Lookups!F$167+($BJ55-Lookups!D$167)*Lookups!G$167,$BJ55&gt;=Lookups!D$166, Lookups!F$166+($BJ55-Lookups!D$166)*Lookups!G$166,$BJ55&gt;=Lookups!D$165, Lookups!F$165+($BJ55-Lookups!D$165)*Lookups!G$165,$BJ55&gt;=Lookups!D$164, Lookups!F$164+($BJ55-Lookups!D$164)*Lookups!G$164,$BJ55&gt;=Lookups!D$163, Lookups!F$163+($BJ55-Lookups!D$163)*Lookups!G$163,$BJ55&gt;=Lookups!D$162, Lookups!F$162+($BJ55-Lookups!D$162)*Lookups!G$162,$BJ55&lt;Lookups!D$162,$BJ55*Lookups!G$161),Setup!I$4=Lookups!D$111,-_xlfn.IFS($BJ55&gt;=Lookups!D$177, Lookups!F$177+($BJ55-Lookups!D$177)*Lookups!G$177,$BJ55&gt;=Lookups!D$176, Lookups!F$176+($BJ55-Lookups!D$176)*Lookups!G$176,$BJ55&gt;=Lookups!D$175, Lookups!F$175+($BJ55-Lookups!D$175)*Lookups!G$175,$BJ55&gt;=Lookups!D$174, Lookups!F$174+($BJ55-Lookups!D$174)*Lookups!G$174,$BJ55&gt;=Lookups!D$173, Lookups!F$173+($BJ55-Lookups!D$173)*Lookups!G$173,$BJ55&gt;=Lookups!D$172, Lookups!F$172+($BJ55-Lookups!D$172)*Lookups!G$172,$BJ55&lt;Lookups!D$172,$BJ55*Lookups!G$171), Setup!I$4=Lookups!D$112,-_xlfn.IFS($BJ55&gt;=Lookups!D$187, Lookups!F$187+($BJ55-Lookups!D$187)*Lookups!G$187,$BJ55&gt;=Lookups!D$186, Lookups!F$186+($BJ55-Lookups!D$186)*Lookups!G$186,$BJ55&gt;=Lookups!D$185, Lookups!F$185+($BJ55-Lookups!D$185)*Lookups!G$185,$BJ55&gt;=Lookups!D$184, Lookups!F$184+($BJ55-Lookups!D$184)*Lookups!G$184,$BJ55&gt;=Lookups!D$183, Lookups!F$183+($BJ55-Lookups!D$183)*Lookups!G$183,$BJ55&gt;=Lookups!D$182, Lookups!F$182+($BJ55-Lookups!D$182)*Lookups!G$182,$BJ55&lt;Lookups!D$182,$BJ55*Lookups!G$181)),0)</f>
        <v>0</v>
      </c>
      <c r="BL55" s="18">
        <f t="shared" si="54"/>
        <v>0</v>
      </c>
      <c r="BM55" s="134">
        <f t="shared" si="55"/>
        <v>0</v>
      </c>
      <c r="BN55" s="134" cm="1">
        <f t="array" aca="1" ref="BN55" ca="1">INDIRECT(Setup!I$6&amp;"!"&amp;"A"&amp;ROW())</f>
        <v>0</v>
      </c>
      <c r="BO55" s="134">
        <f t="shared" si="56"/>
        <v>0</v>
      </c>
      <c r="BP55" s="1">
        <f t="shared" si="57"/>
        <v>0</v>
      </c>
      <c r="BQ55" s="1">
        <f t="shared" si="58"/>
        <v>0</v>
      </c>
      <c r="BS55" s="1">
        <f t="shared" si="50"/>
        <v>0</v>
      </c>
      <c r="BT55" s="1" cm="1">
        <f t="array" ref="BT55">-IF(BS55&gt;0,_xlfn.IFS((AW55+BA55+BG55+BS55)&gt;=VLOOKUP(Setup!I$4,Lookups!C$210:E$213,3),BS55*Lookups!D$203,(AW55+BA55+BG55+BS55)&gt;=VLOOKUP(Setup!I$4,Lookups!C$210:E$213,2),BS55*Lookups!D$197,(AW55+BA55+BG55+BS55)&lt;VLOOKUP(Setup!I$4,Lookups!C$210:E$213,2),0),0)</f>
        <v>0</v>
      </c>
      <c r="BU55" s="18">
        <f t="shared" si="51"/>
        <v>0</v>
      </c>
      <c r="BV55" s="1">
        <f t="shared" si="52"/>
        <v>0</v>
      </c>
      <c r="BW55" s="1" cm="1">
        <f t="array" aca="1" ref="BW55" ca="1">INDIRECT(Setup!I$6&amp;"!"&amp;"A"&amp;ROW()+100)</f>
        <v>0</v>
      </c>
      <c r="BX55" s="1">
        <f t="shared" ca="1" si="44"/>
        <v>0</v>
      </c>
      <c r="BY55" s="1">
        <f t="shared" ca="1" si="45"/>
        <v>0</v>
      </c>
      <c r="CA55" s="1">
        <f t="shared" si="59"/>
        <v>0</v>
      </c>
      <c r="CC55" s="1" cm="1">
        <f t="array" ref="CC55">_xlfn.IFS(AND(A55&lt;$DA$4,B55&lt;$DB$4),0,AND(AND(A55&gt;=$DA$4,B55&gt;=$DB$4),AND(A55&lt;=$DA$6,B55&lt;=$DB$6),AND(BH55=0,BI55=0)),SUM(AW55,AY55:AZ55,BD55:BF55,BP55,BS55,CA55)-AQ55,AND(AND(A55&gt;=$DA$4,B55&gt;=$DB$4),AND(A55&lt;=$DA$6,B55&lt;=$DB$6)),SUM(AW55,AY55:AZ55,BD55:BF55,BS55,CA55)-AQ55,AND(OR(A55&gt;=$DA$4,B55&gt;=$DB$4),AND(BH55=0,BI55=0)),SUM(AW55,AY55:AZ55,BD55:BF55,BP55,BS55,CA55)-AP55,OR(A55&gt;=$DA$4,B55&gt;=$DB$4),SUM(AW55,AY55:AZ55,BD55:BF55,BS55,CA55)-AP55)</f>
        <v>0</v>
      </c>
      <c r="CD55" s="142" t="str">
        <f t="shared" si="30"/>
        <v/>
      </c>
    </row>
    <row r="56" spans="1:82" x14ac:dyDescent="0.3">
      <c r="A56" s="354">
        <f t="shared" si="62"/>
        <v>49</v>
      </c>
      <c r="B56" s="354">
        <f t="shared" si="63"/>
        <v>49</v>
      </c>
      <c r="C56" s="359">
        <f t="shared" si="33"/>
        <v>17899</v>
      </c>
      <c r="D56" s="326" cm="1">
        <f t="array" ref="D56">_xlfn.IFS(AND(A56&gt;DA$6,B56&gt;DB$6),0,AND(A56&gt;DA$3,A56&lt;=DA$4),D55*(1+DH$1),OR(A56&gt;DA$6,A56&gt;DA$4),(D55-BH55)*(1+DH$2),A56&lt;=DA$4,(D55*(1+DH$1))+(D$4))</f>
        <v>0</v>
      </c>
      <c r="E56" s="375"/>
      <c r="F56" s="326" cm="1">
        <f t="array" ref="F56">_xlfn.IFS(AND(A56&gt;DA$6,B56&gt;DB$6),0,AND(B56&gt;DB$3,B56&lt;=DB$4),F55*(1+DH$1),OR(B56&gt;DB$6,B56&gt;DB$4),(F55-BI55)*(1+DH$2),B56&lt;=DB$4,(F55*(1+DH$1))+(F$4))</f>
        <v>0</v>
      </c>
      <c r="G56" s="375"/>
      <c r="H56" s="1">
        <f t="shared" si="60"/>
        <v>0</v>
      </c>
      <c r="I56" s="2">
        <f t="shared" si="36"/>
        <v>0</v>
      </c>
      <c r="J56" s="14">
        <f t="shared" si="64"/>
        <v>0</v>
      </c>
      <c r="L56" s="402" cm="1">
        <f t="array" ref="L56">_xlfn.IFS(AND(A56&gt;DA$6,B56&gt;DB$6),0,A56&lt;DA$6,0,A56=DA$6,L$4,AND(A56&gt;DA$6,B56&lt;=DB$4),L55*(1+DH$1),AND(A56&gt;DA$6,B56&gt;DB$4),IF(Y55=0,0,(L55-((L55/Y55)*BY55))*(1+DH$2)))</f>
        <v>0</v>
      </c>
      <c r="M56" s="402" cm="1">
        <f t="array" ref="M56">_xlfn.IFS(AND(A56&gt;DA$6,B56&gt;DB$6),0,B56&lt;DB$6,0,B56=DB$6,M$4,AND(B56&gt;DB$6,A56&lt;=DA$4),M55*(1+DH$1),AND(A56&gt;DA$4,B56&gt;DB$6),IF(Y55=0,0,(M55-((M55/Y55)*BY55))*(1+DH$2)))</f>
        <v>0</v>
      </c>
      <c r="N56" s="327"/>
      <c r="O56" s="327" cm="1">
        <f t="array" ref="O56">_xlfn.IFS(OR(ISBLANK(Setup!C$63),Setup!C$63&gt;YEAR(C56),AND(A56&gt;DA$6,B56&gt;DB$6),ISBLANK(Y55)),0,Setup!C$63=YEAR(C56),Setup!C$62,AND(OR(A56&lt;=DA$4,B56&lt;=DB$4),Setup!C$63&lt;YEAR(C56)),O55*(1+DH$1),AND(A56&gt;DA$4,B56&gt;DB$4,Setup!C$63&lt;YEAR(C56)),IF(Y55=0,0,(O55-((O55/Y55)*BY55))*(1+DH$2)))</f>
        <v>0</v>
      </c>
      <c r="P56" s="327" cm="1">
        <f t="array" ref="P56">_xlfn.IFS(OR(ISBLANK(Setup!C$67),Setup!C$67&gt;YEAR(C56),AND(A56&gt;DA$6,B56&gt;DB$6)),0,Setup!C$67=YEAR(C56),Setup!C$66,AND(OR(A56&lt;=DA$4,B56&lt;=DB$4),Setup!C$67&lt;YEAR(C56)),P55*(1+DH$1),AND(A56&gt;DA$4,B56&gt;DB$4,Setup!C$67&lt;YEAR(C56)),IF(Y55=0,0,(P55-((P55/Y55)*BY55))*(1+DH$2)))</f>
        <v>0</v>
      </c>
      <c r="Q56" s="327" cm="1">
        <f t="array" ref="Q56">_xlfn.IFS(OR(ISBLANK(Setup!C$71),Setup!C$71&gt;YEAR(C56),AND(A56&gt;DA$6,B56&gt;DB$6)),0,Setup!C$71=YEAR(C56),Setup!C$70,AND(OR(A56&lt;=DA$4,B56&lt;=DB$4),Setup!C$71&lt;YEAR(C56)),Q55*(1+DH$1),AND(A56&gt;DA$4,B56&gt;DB$4,Setup!C$71&lt;YEAR(C56)),IF(Y55=0,0,(Q55-((Q55/Y55)*BY55))*(1+DH$2)))</f>
        <v>0</v>
      </c>
      <c r="R56" s="327" cm="1">
        <f t="array" ref="R56">_xlfn.IFS(OR(ISBLANK(Setup!C$75),Setup!C$75&gt;YEAR(C56),AND(A56&gt;DA$6,B56&gt;DB$6)),0,Setup!C$75=YEAR(C56),Setup!C$74,AND(OR(A56&lt;=DA$4,B56&lt;=DB$4),Setup!C$75&lt;YEAR(C56)),R55*(1+DH$1),AND(A56&gt;DA$4,B56&gt;DB$4,Setup!C$75&lt;YEAR(C56)),IF(Y55=0,0,(R55-((R55/Y55)*BY55))*(1+DH$2)))</f>
        <v>0</v>
      </c>
      <c r="S56" s="327"/>
      <c r="T56" s="326" cm="1">
        <f t="array" ref="T56">_xlfn.IFS(AND($A56&gt;$DA$6,$B56&gt;$DB$6),0,AND($W$2=$DA$2,$A56&gt;$DA$4),IF($Y55=0,0,(T55-((T55/$Y55)*$BY55))*(1+$DH$2)),AND($W$2=$DB$2,$B56&gt;$DB$4),IF($Y55=0,0,(T55-((T55/$Y55)*$BY55))*(1+$DH$2)),AND($W$2=$DA$2,OR($A56&gt;$DA$3,$A56&gt;$DA$6)),(T55*(1+$DH$1)),AND($W$2=$DB$2,OR($B56&gt;$DB$3,$B56&gt;$DB$6)),(T55*(1+$DH$1)),AND($W$2=$DA$2,$A56&lt;=$DA$3,$A56&lt;=$DA$4,$A56&lt;=$DA$5),(T55*(1+$DH$1))+(T$4),AND($W$2=$DB$2,$B56&lt;=$DB$3,$B56&lt;=$DB$4,$B56&lt;=$DB$5),(T55*(1+$DH$1))+(T$4))</f>
        <v>0</v>
      </c>
      <c r="U56" s="326" cm="1">
        <f t="array" ref="U56">_xlfn.IFS(AND($A56&gt;$DA$6,$B56&gt;$DB$6),0,AND($W$2=$DA$2,$A56&gt;$DA$4),IF($Y55=0,0,(U55-((U55/$Y55)*$BY55))*(1+$DH$2)),AND($W$2=$DB$2,$B56&gt;$DB$4),IF($Y55=0,0,(U55-((U55/$Y55)*$BY55))*(1+$DH$2)),AND($W$2=$DA$2,OR($A56&gt;$DA$3,$A56&gt;$DA$6)),(U55*(1+$DH$1)),AND($W$2=$DB$2,OR($B56&gt;$DB$3,$B56&gt;$DB$6)),(U55*(1+$DH$1)),AND($W$2=$DA$2,$A56&lt;=$DA$3,$A56&lt;=$DA$4,$A56&lt;=$DA$5),(U55*(1+$DH$1))+(U$4),AND($W$2=$DB$2,$B56&lt;=$DB$3,$B56&lt;=$DB$4,$B56&lt;=$DB$5),(U55*(1+$DH$1))+(U$4))</f>
        <v>0</v>
      </c>
      <c r="V56" s="326" cm="1">
        <f t="array" ref="V56">_xlfn.IFS(AND($A56&gt;$DA$6,$B56&gt;$DB$6),0,AND($W$2=$DA$2,$A56&gt;$DA$4),IF($Y55=0,0,(V55-((V55/$Y55)*$BY55))*(1+$DH$2)),AND($W$2=$DB$2,$B56&gt;$DB$4),IF($Y55=0,0,(V55-((V55/$Y55)*$BY55))*(1+$DH$2)),AND($W$2=$DA$2,OR($A56&gt;$DA$3,$A56&gt;$DA$6)),(V55*(1+$DH$1)),AND($W$2=$DB$2,OR($B56&gt;$DB$3,$B56&gt;$DB$6)),(V55*(1+$DH$1)),AND($W$2=$DA$2,$A56&lt;=$DA$3,$A56&lt;=$DA$4,$A56&lt;=$DA$5),(V55*(1+$DH$1))+(V$4),AND($W$2=$DB$2,$B56&lt;=$DB$3,$B56&lt;=$DB$4,$B56&lt;=$DB$5),(V55*(1+$DH$1))+(V$4))</f>
        <v>0</v>
      </c>
      <c r="W56" s="326" cm="1">
        <f t="array" ref="W56">_xlfn.IFS(AND($A56&gt;$DA$6,$B56&gt;$DB$6),0,AND($W$2=$DA$2,$A56&gt;$DA$4),IF($Y55=0,0,(W55-((W55/$Y55)*$BY55))*(1+$DH$2)),AND($W$2=$DB$2,$B56&gt;$DB$4),IF($Y55=0,0,(W55-((W55/$Y55)*$BY55))*(1+$DH$2)),AND($W$2=$DA$2,OR($A56&gt;$DA$3,$A56&gt;$DA$6)),(W55*(1+$DH$1)),AND($W$2=$DB$2,OR($B56&gt;$DB$3,$B56&gt;$DB$6)),(W55*(1+$DH$1)),AND($W$2=$DA$2,$A56&lt;=$DA$3,$A56&lt;=$DA$4,$A56&lt;=$DA$5),(W55*(1+$DH$1))+(W$4),AND($W$2=$DB$2,$B56&lt;=$DB$3,$B56&lt;=$DB$4,$B56&lt;=$DB$5),(W55*(1+$DH$1))+(W$4))</f>
        <v>0</v>
      </c>
      <c r="Y56" s="1">
        <f t="shared" si="47"/>
        <v>0</v>
      </c>
      <c r="Z56" s="2">
        <f t="shared" si="37"/>
        <v>0</v>
      </c>
      <c r="AA56" s="375"/>
      <c r="AC56" s="326" cm="1">
        <f t="array" ref="AC56">_xlfn.IFS(AND(A56&gt;DA$6,B56&gt;DB$6),0,AND(A56&gt;DA$4,B56&gt;DB$4),IF(AG55=0,0,(AC55-((AC55/AG55)*CA55))*(1+DH$2)),OR(A56&gt;DA$3,A56&gt;DA$6),AC55*(1+DH$1),A56&gt;DA$4,(AC55-CA55)*(1+DH$2),AND(A56&lt;=DA$3,A56&lt;=DA$4,A56&lt;=DA$6),(AC55*(1+DH$1))+(AC$4))</f>
        <v>0</v>
      </c>
      <c r="AD56" s="375"/>
      <c r="AE56" s="326" cm="1">
        <f t="array" ref="AE56">_xlfn.IFS(AND(A56&gt;DA$6,B56&gt;DB$6),0,AND(A56&gt;DA$4,B56&gt;DB$4),IF(AG55=0,0,(AE55-((AE55/AG55)*CA55))*(1+DH$2)),OR(B56&gt;DB$3,B56&gt;DB$6),AE55*(1+DH$1),B56&gt;DB$4,(AE55-CA55)*(1+DH$2),AND(B56&lt;=DB$3,B56&lt;=DB$4,B56&lt;=DB$6),(AE55*(1+DH$1))+(AE$4))</f>
        <v>0</v>
      </c>
      <c r="AF56" s="375"/>
      <c r="AG56" s="1">
        <f t="shared" si="61"/>
        <v>0</v>
      </c>
      <c r="AH56" s="2">
        <f t="shared" si="48"/>
        <v>0</v>
      </c>
      <c r="AI56" s="14">
        <f t="shared" si="38"/>
        <v>0</v>
      </c>
      <c r="AK56" s="1">
        <f t="shared" si="49"/>
        <v>0</v>
      </c>
      <c r="AL56" s="14">
        <f t="shared" si="39"/>
        <v>0</v>
      </c>
      <c r="AM56" s="14" t="str">
        <f t="shared" si="23"/>
        <v/>
      </c>
      <c r="AO56" s="15">
        <f t="shared" si="40"/>
        <v>0</v>
      </c>
      <c r="AP56" s="1">
        <f>IF(AND(B56&gt;=$DB$6,A56&gt;=$DA$6),0,AP55*(1+Lookups!C$12))</f>
        <v>0</v>
      </c>
      <c r="AQ56" s="1">
        <f>IF(AND(B56&gt;=$DB$6,A56&gt;=$DA$6),0,AQ55*(1+Lookups!C$12))</f>
        <v>0</v>
      </c>
      <c r="AS56" s="1" cm="1">
        <f t="array" ref="AS56">_xlfn.IFS(OR(AS$6="",AND(A56&gt;=DA$6,B56&gt;=DB$6),AND(A56&lt;DA$4,B56&lt;DB$4)),0,AND(A56=DA$4,DA$4&lt;=DB$4),AS$6,AND(B56=DB$4,DA$4&gt;=DB$4),AS$6,OR(A56&gt;DA$4,B56&gt;DB$4),AS55*(1+Setup!C$103))</f>
        <v>0</v>
      </c>
      <c r="AT56" s="1" cm="1">
        <f t="array" ref="AT56">_xlfn.IFS(OR(AT$6="",AND(A56&gt;=DA$6,B56&gt;=DB$6),AND(A56&lt;DA$4,B56&lt;DB$4)),0,AND(A56=DA$4,DA$4&lt;=DB$4),AT$6,AND(B56=DB$4,DA$4&gt;=DB$4),AT$6,OR(A56&gt;DA$4,B56&gt;DB$4),AT55*(1+Setup!C$103))</f>
        <v>0</v>
      </c>
      <c r="AU56" s="1" cm="1">
        <f t="array" ref="AU56">_xlfn.IFS(OR(AU$6="",AND(A56&gt;=DA$6,B56&gt;=DB$6),AND(A56&lt;DA$4,B56&lt;DB$4)),0,AND(A56=DA$4,DA$4&lt;=DB$4),AU$6,AND(B56=DB$4,DA$4&gt;=DB$4),AU$6,OR(A56&gt;DA$4,B56&gt;DB$4),AU55*(1+Setup!C$103))</f>
        <v>0</v>
      </c>
      <c r="AV56" s="1" cm="1">
        <f t="array" ref="AV56">_xlfn.IFS(OR(AV$6="",AND(A56&gt;=DA$6,B56&gt;=DB$6),AND(A56&lt;DA$4,B56&lt;DB$4)),0,AND(A56=DA$4,DA$4&lt;=DB$4),AV$6,AND(B56=DB$4,DA$4&gt;=DB$4),AV$6,OR(A56&gt;DA$4,B56&gt;DB$4),AV55*(1+Setup!C$103))</f>
        <v>0</v>
      </c>
      <c r="AW56" s="1">
        <f t="shared" si="41"/>
        <v>0</v>
      </c>
      <c r="AY56" s="1" cm="1">
        <f t="array" ref="AY56">_xlfn.IFS(OR(AND(A56&gt;=DA$6,B56&gt;=DB$6),A56&lt;DA$5),0,AND(A56=DA$5,YEAR(C56)&gt;=Lookups!D$89),VLOOKUP(A56,Lookups!B$94:F$102,3),AND(A56=DA$5,YEAR(C56)&lt;Lookups!D$89),VLOOKUP(A56,Lookups!B$94:F$102,2),AND(A56&gt;DA$5,YEAR(C56)=Lookups!D$89),(AY55*Lookups!D$90)*(1+Lookups!C$20),AND(A56&gt;DA$5,YEAR(C56)&lt;&gt;Lookups!D$89),AY55*(1+Lookups!C$20))</f>
        <v>0</v>
      </c>
      <c r="AZ56" s="1" cm="1">
        <f t="array" ref="AZ56">_xlfn.IFS(OR(ISBLANK(Setup!K$91),Setup!K$91=0,AND(A56&gt;=DA$6,B56&gt;=DB$6),B56&lt;DB$5),0,AND(B56=DB$5,YEAR(C56)&gt;=Lookups!D$89),VLOOKUP(B56,Lookups!B$94:F$102,5),AND(B56=DB$5,YEAR(C56)&lt;Lookups!D$89),VLOOKUP(B56,Lookups!B$94:F$102,4),AND(B56&gt;DB$5,YEAR(C56)=Lookups!D$89),(AZ55*Lookups!D$90)*(1+Lookups!C$20),AND(B56&gt;DB$5,YEAR(C56)&lt;&gt;Lookups!D$89),AZ55*(1+Lookups!C$20))</f>
        <v>0</v>
      </c>
      <c r="BA56" s="65">
        <f>IF(OR(AY56&gt;0,AZ56&gt;0),(AY56+AZ56)*Lookups!D$120,0)</f>
        <v>0</v>
      </c>
      <c r="BB56" s="1" cm="1">
        <f t="array" ref="BB56">_xlfn.IFS(AND(A56&lt;DA$4,B56&lt;DB$4),0,OR(_xlfn.XOR(A56&gt;DA$6,B56&gt;DB$6),_xlfn.XOR(A56&gt;=DA$4,B56&gt;=DB$4)),IF(AP56-SUM(AW56,AY56:AZ56)&gt;0,AP56-SUM(AW56,AY56:AZ56),0),AQ56-SUM(AW56,AY56:AZ56)&gt;0, AQ56-SUM(AW56,AY56:AZ56),AQ56-SUM(AW56,AY56:AZ56)&lt;=0,0)</f>
        <v>0</v>
      </c>
      <c r="BD56" s="1" cm="1">
        <f t="array" ref="BD56">_xlfn.IFS(AND(A56&gt;=DA$6,B56&gt;=DB$6),0,AND(A56&gt;=DA$6,B56&gt;=Lookups!C$35),D56/VLOOKUP(B56,Lookups!C$37:D$67,2),A56&lt;Lookups!$C$35,0,A56&gt;=Lookups!C$35,D56/VLOOKUP(A56,Lookups!C$37:D$67,2))</f>
        <v>0</v>
      </c>
      <c r="BE56" s="1" cm="1">
        <f t="array" ref="BE56">_xlfn.IFS(AND(A56&gt;=DA$6,B56&gt;=DB$6),0,AND(B56&gt;=DB$6,A56&gt;=Lookups!C$35),F56/VLOOKUP(A56,Lookups!C$37:D$67,2),B56&lt;Lookups!$C$35,0,B56&gt;=Lookups!C$35,F56/VLOOKUP(B56,Lookups!C$37:D$67,2))</f>
        <v>0</v>
      </c>
      <c r="BF56" s="1" cm="1">
        <f t="array" ref="BF56">_xlfn.IFS($BB56&lt;=0,0,AND(A56&gt;=DA$4,B56&gt;=DB$4,$BB56*I56&lt;(BD56+BE56)),0,AND(A56&gt;=DA$4,B56&gt;=DB$4,H56&gt;=(BB56*I56)-BD56-BE56),(BB56*I56)-BD56-BE56,AND(A56&gt;=DA$4,B56&gt;=DB$4,H56&lt;(BB56*I56)-BD56-BE56),H56,AND(A56&gt;=DA$4,$BB56*I56&lt;(BD56)),0,AND(A56&gt;=DA$4,H56&gt;=(BB56*I56)-BD56),(BB56*I56)-BD56,AND(A56&gt;=DA$4,H56&lt;(BB56*I56)-BD56),H56,AND(B56&gt;=DB$4,$BB56*I56&lt;(BE56)),0,AND(B56&gt;=DB$4,H56&gt;=(BB56*I56)-BE56),(BB56*I56)-BE56,AND(B56&gt;=DB$4,H56&lt;(BB56*I56)-BE56),H56)</f>
        <v>0</v>
      </c>
      <c r="BG56" s="1">
        <f t="shared" si="53"/>
        <v>0</v>
      </c>
      <c r="BH56" s="1" cm="1">
        <f t="array" ref="BH56">_xlfn.IFS(OR(D56=0,A56&lt;DA$4),0,AND(A56&gt;=DA$4,B56&gt;=DB$4,D56&lt;BD56+($BF56*(D56/$H56))+(-$BP56*(D56/$H56))),D56,AND(A56&gt;=DA$4,B56&gt;=DB$4,$BB56&gt;$BG56),BD56+($BF56*(D56/$H56))+(-$BP56*(D56/$H56)),AND(A56&gt;=DA$4,B56&gt;=DB$4,OR(A56&gt;DA$6, B56&gt;DB$6),$AP56-SUM($AW56,$AY56:$AZ56)&lt;0),BD56+($BF56*(D56/$H56))+(-$BP56*(D56/$H56))+(BP56*(D56/$H56)),AND(A56&gt;=DA$4,B56&gt;=DB$4,$AQ56-SUM($AW56,$AY56:$AZ56)&lt;0),BD56+($BF56*(D56/$H56))+(-$BP56*(D56/$H56))+(BP56*(D56/$H56)),AND(A56&gt;=DA$4,D56&lt;BD56+$BF56-$BP56),D56,AND(A56&gt;=DA$4,$AP56-SUM($AW56,$AY56:$AZ56)&lt;0),BD56+($BF56*(D56/$H56))+(-$BP56*(D56/$H56))+(BP56*(D56/$H56)),A56&gt;=DA$4,BD56+$BF56-$BP56)</f>
        <v>0</v>
      </c>
      <c r="BI56" s="1" cm="1">
        <f t="array" ref="BI56">_xlfn.IFS(OR(F56=0,B56&lt;DB$4),0,AND(A56&gt;=DA$4,B56&gt;=DB$4,F56&lt;BE56+($BF56*(F56/$H56))+(-$BP56*(F56/$H56))),F56,AND(A56&gt;=DA$4,B56&gt;=DB$4,$BB56&gt;$BG56),BE56+($BF56*(F56/$H56))+(-$BP56*(F56/$H56)),AND(A56&gt;=DA$4,B56&gt;=DB$4,OR(A56&gt;DA$6, B56&gt;DB$6),$AP56-SUM($AW56,$AY56:$AZ56)&lt;0),BE56+($BF56*(F56/$H56))+(-$BP56*(F56/$H56))+(BP56*(F56/$H56)),AND(A56&gt;=DA$4,B56&gt;=DB$4,$AQ56-SUM($AW56,$AY56:$AZ56)&lt;0),BE56+($BF56*(F56/$H56))+(-$BP56*(F56/$H56))+(BP56*(F56/$H56)),AND(B56&gt;=DB$4,F56&lt;BE56+$BF56-$BP56),F56,AND(B56&gt;=DB$4,$AP56-SUM($AW56,$AY56:$AZ56)&lt;0),BE56+($BF56*(F56/$H56))+(-$BP56*(F56/$H56))+(BP56*(F56/$H56)),B56&gt;=DB$4,BE56+$BF56-$BP56)</f>
        <v>0</v>
      </c>
      <c r="BJ56" s="64" cm="1">
        <f t="array" ref="BJ56">IF(AW56+BA56+BG56&gt;0, AW56+BA56+BG56-_xlfn.IFS(AND(A56&gt;=65,B56&gt;=65),VLOOKUP(Setup!I$4,Lookups!C$133:F$136,4),OR(A56&gt;=65,B56&gt;=65),VLOOKUP(Setup!I$4,Lookups!C$133:E$136,3),AND(A56&lt;65,B56&lt;65),VLOOKUP(Setup!I$4,Lookups!C$133:D$136,2)),0)</f>
        <v>0</v>
      </c>
      <c r="BK56" s="1" cm="1">
        <f t="array" ref="BK56">IF(BJ56&gt;0,_xlfn.IFS(Setup!I$4=Lookups!D$109,-_xlfn.IFS($BJ56&gt;=Lookups!D$157, Lookups!F$157+($BJ56-Lookups!D$157)*Lookups!G$157,$BJ56&gt;=Lookups!D$156, Lookups!F$156+($BJ56-Lookups!D$156)*Lookups!G$156,$BJ56&gt;=Lookups!D$155, Lookups!F$155+($BJ56-Lookups!D$155)*Lookups!G$155,$BJ56&gt;=Lookups!D$154, Lookups!F$154+($BJ56-Lookups!D$154)*Lookups!G$154,$BJ56&gt;=Lookups!D$153, Lookups!F$153+($BJ56-Lookups!D$153)*Lookups!G$153,$BJ56&gt;=Lookups!D$152, Lookups!F$152+($BJ56-Lookups!D$152)*Lookups!G$152,$BJ56&lt;Lookups!D$152,$BJ56*Lookups!G$151),Setup!I$4=Lookups!D$110,-_xlfn.IFS($BJ56&gt;=Lookups!D$167, Lookups!F$167+($BJ56-Lookups!D$167)*Lookups!G$167,$BJ56&gt;=Lookups!D$166, Lookups!F$166+($BJ56-Lookups!D$166)*Lookups!G$166,$BJ56&gt;=Lookups!D$165, Lookups!F$165+($BJ56-Lookups!D$165)*Lookups!G$165,$BJ56&gt;=Lookups!D$164, Lookups!F$164+($BJ56-Lookups!D$164)*Lookups!G$164,$BJ56&gt;=Lookups!D$163, Lookups!F$163+($BJ56-Lookups!D$163)*Lookups!G$163,$BJ56&gt;=Lookups!D$162, Lookups!F$162+($BJ56-Lookups!D$162)*Lookups!G$162,$BJ56&lt;Lookups!D$162,$BJ56*Lookups!G$161),Setup!I$4=Lookups!D$111,-_xlfn.IFS($BJ56&gt;=Lookups!D$177, Lookups!F$177+($BJ56-Lookups!D$177)*Lookups!G$177,$BJ56&gt;=Lookups!D$176, Lookups!F$176+($BJ56-Lookups!D$176)*Lookups!G$176,$BJ56&gt;=Lookups!D$175, Lookups!F$175+($BJ56-Lookups!D$175)*Lookups!G$175,$BJ56&gt;=Lookups!D$174, Lookups!F$174+($BJ56-Lookups!D$174)*Lookups!G$174,$BJ56&gt;=Lookups!D$173, Lookups!F$173+($BJ56-Lookups!D$173)*Lookups!G$173,$BJ56&gt;=Lookups!D$172, Lookups!F$172+($BJ56-Lookups!D$172)*Lookups!G$172,$BJ56&lt;Lookups!D$172,$BJ56*Lookups!G$171), Setup!I$4=Lookups!D$112,-_xlfn.IFS($BJ56&gt;=Lookups!D$187, Lookups!F$187+($BJ56-Lookups!D$187)*Lookups!G$187,$BJ56&gt;=Lookups!D$186, Lookups!F$186+($BJ56-Lookups!D$186)*Lookups!G$186,$BJ56&gt;=Lookups!D$185, Lookups!F$185+($BJ56-Lookups!D$185)*Lookups!G$185,$BJ56&gt;=Lookups!D$184, Lookups!F$184+($BJ56-Lookups!D$184)*Lookups!G$184,$BJ56&gt;=Lookups!D$183, Lookups!F$183+($BJ56-Lookups!D$183)*Lookups!G$183,$BJ56&gt;=Lookups!D$182, Lookups!F$182+($BJ56-Lookups!D$182)*Lookups!G$182,$BJ56&lt;Lookups!D$182,$BJ56*Lookups!G$181)),0)</f>
        <v>0</v>
      </c>
      <c r="BL56" s="18">
        <f t="shared" si="54"/>
        <v>0</v>
      </c>
      <c r="BM56" s="134">
        <f t="shared" si="55"/>
        <v>0</v>
      </c>
      <c r="BN56" s="134" cm="1">
        <f t="array" aca="1" ref="BN56" ca="1">INDIRECT(Setup!I$6&amp;"!"&amp;"A"&amp;ROW())</f>
        <v>0</v>
      </c>
      <c r="BO56" s="134">
        <f t="shared" si="56"/>
        <v>0</v>
      </c>
      <c r="BP56" s="1">
        <f t="shared" si="57"/>
        <v>0</v>
      </c>
      <c r="BQ56" s="1">
        <f t="shared" si="58"/>
        <v>0</v>
      </c>
      <c r="BS56" s="1">
        <f t="shared" si="50"/>
        <v>0</v>
      </c>
      <c r="BT56" s="1" cm="1">
        <f t="array" ref="BT56">-IF(BS56&gt;0,_xlfn.IFS((AW56+BA56+BG56+BS56)&gt;=VLOOKUP(Setup!I$4,Lookups!C$210:E$213,3),BS56*Lookups!D$203,(AW56+BA56+BG56+BS56)&gt;=VLOOKUP(Setup!I$4,Lookups!C$210:E$213,2),BS56*Lookups!D$197,(AW56+BA56+BG56+BS56)&lt;VLOOKUP(Setup!I$4,Lookups!C$210:E$213,2),0),0)</f>
        <v>0</v>
      </c>
      <c r="BU56" s="18">
        <f t="shared" si="51"/>
        <v>0</v>
      </c>
      <c r="BV56" s="1">
        <f t="shared" si="52"/>
        <v>0</v>
      </c>
      <c r="BW56" s="1" cm="1">
        <f t="array" aca="1" ref="BW56" ca="1">INDIRECT(Setup!I$6&amp;"!"&amp;"A"&amp;ROW()+100)</f>
        <v>0</v>
      </c>
      <c r="BX56" s="1">
        <f t="shared" ca="1" si="44"/>
        <v>0</v>
      </c>
      <c r="BY56" s="1">
        <f t="shared" ca="1" si="45"/>
        <v>0</v>
      </c>
      <c r="CA56" s="1">
        <f t="shared" si="59"/>
        <v>0</v>
      </c>
      <c r="CC56" s="1" cm="1">
        <f t="array" ref="CC56">_xlfn.IFS(AND(A56&lt;$DA$4,B56&lt;$DB$4),0,AND(AND(A56&gt;=$DA$4,B56&gt;=$DB$4),AND(A56&lt;=$DA$6,B56&lt;=$DB$6),AND(BH56=0,BI56=0)),SUM(AW56,AY56:AZ56,BD56:BF56,BP56,BS56,CA56)-AQ56,AND(AND(A56&gt;=$DA$4,B56&gt;=$DB$4),AND(A56&lt;=$DA$6,B56&lt;=$DB$6)),SUM(AW56,AY56:AZ56,BD56:BF56,BS56,CA56)-AQ56,AND(OR(A56&gt;=$DA$4,B56&gt;=$DB$4),AND(BH56=0,BI56=0)),SUM(AW56,AY56:AZ56,BD56:BF56,BP56,BS56,CA56)-AP56,OR(A56&gt;=$DA$4,B56&gt;=$DB$4),SUM(AW56,AY56:AZ56,BD56:BF56,BS56,CA56)-AP56)</f>
        <v>0</v>
      </c>
      <c r="CD56" s="142" t="str">
        <f t="shared" si="30"/>
        <v/>
      </c>
    </row>
    <row r="57" spans="1:82" x14ac:dyDescent="0.3">
      <c r="A57" s="354">
        <f t="shared" si="62"/>
        <v>50</v>
      </c>
      <c r="B57" s="354">
        <f t="shared" si="63"/>
        <v>50</v>
      </c>
      <c r="C57" s="359">
        <f t="shared" si="33"/>
        <v>18264</v>
      </c>
      <c r="D57" s="326" cm="1">
        <f t="array" ref="D57">_xlfn.IFS(AND(A57&gt;DA$6,B57&gt;DB$6),0,AND(A57&gt;DA$3,A57&lt;=DA$4),D56*(1+DH$1),OR(A57&gt;DA$6,A57&gt;DA$4),(D56-BH56)*(1+DH$2),A57&lt;=DA$4,(D56*(1+DH$1))+(D$4))</f>
        <v>0</v>
      </c>
      <c r="E57" s="375"/>
      <c r="F57" s="326" cm="1">
        <f t="array" ref="F57">_xlfn.IFS(AND(A57&gt;DA$6,B57&gt;DB$6),0,AND(B57&gt;DB$3,B57&lt;=DB$4),F56*(1+DH$1),OR(B57&gt;DB$6,B57&gt;DB$4),(F56-BI56)*(1+DH$2),B57&lt;=DB$4,(F56*(1+DH$1))+(F$4))</f>
        <v>0</v>
      </c>
      <c r="G57" s="375"/>
      <c r="H57" s="1">
        <f t="shared" si="60"/>
        <v>0</v>
      </c>
      <c r="I57" s="2">
        <f t="shared" si="36"/>
        <v>0</v>
      </c>
      <c r="J57" s="14">
        <f t="shared" si="64"/>
        <v>0</v>
      </c>
      <c r="L57" s="402" cm="1">
        <f t="array" ref="L57">_xlfn.IFS(AND(A57&gt;DA$6,B57&gt;DB$6),0,A57&lt;DA$6,0,A57=DA$6,L$4,AND(A57&gt;DA$6,B57&lt;=DB$4),L56*(1+DH$1),AND(A57&gt;DA$6,B57&gt;DB$4),IF(Y56=0,0,(L56-((L56/Y56)*BY56))*(1+DH$2)))</f>
        <v>0</v>
      </c>
      <c r="M57" s="402" cm="1">
        <f t="array" ref="M57">_xlfn.IFS(AND(A57&gt;DA$6,B57&gt;DB$6),0,B57&lt;DB$6,0,B57=DB$6,M$4,AND(B57&gt;DB$6,A57&lt;=DA$4),M56*(1+DH$1),AND(A57&gt;DA$4,B57&gt;DB$6),IF(Y56=0,0,(M56-((M56/Y56)*BY56))*(1+DH$2)))</f>
        <v>0</v>
      </c>
      <c r="N57" s="327"/>
      <c r="O57" s="327" cm="1">
        <f t="array" ref="O57">_xlfn.IFS(OR(ISBLANK(Setup!C$63),Setup!C$63&gt;YEAR(C57),AND(A57&gt;DA$6,B57&gt;DB$6),ISBLANK(Y56)),0,Setup!C$63=YEAR(C57),Setup!C$62,AND(OR(A57&lt;=DA$4,B57&lt;=DB$4),Setup!C$63&lt;YEAR(C57)),O56*(1+DH$1),AND(A57&gt;DA$4,B57&gt;DB$4,Setup!C$63&lt;YEAR(C57)),IF(Y56=0,0,(O56-((O56/Y56)*BY56))*(1+DH$2)))</f>
        <v>0</v>
      </c>
      <c r="P57" s="327" cm="1">
        <f t="array" ref="P57">_xlfn.IFS(OR(ISBLANK(Setup!C$67),Setup!C$67&gt;YEAR(C57),AND(A57&gt;DA$6,B57&gt;DB$6)),0,Setup!C$67=YEAR(C57),Setup!C$66,AND(OR(A57&lt;=DA$4,B57&lt;=DB$4),Setup!C$67&lt;YEAR(C57)),P56*(1+DH$1),AND(A57&gt;DA$4,B57&gt;DB$4,Setup!C$67&lt;YEAR(C57)),IF(Y56=0,0,(P56-((P56/Y56)*BY56))*(1+DH$2)))</f>
        <v>0</v>
      </c>
      <c r="Q57" s="327" cm="1">
        <f t="array" ref="Q57">_xlfn.IFS(OR(ISBLANK(Setup!C$71),Setup!C$71&gt;YEAR(C57),AND(A57&gt;DA$6,B57&gt;DB$6)),0,Setup!C$71=YEAR(C57),Setup!C$70,AND(OR(A57&lt;=DA$4,B57&lt;=DB$4),Setup!C$71&lt;YEAR(C57)),Q56*(1+DH$1),AND(A57&gt;DA$4,B57&gt;DB$4,Setup!C$71&lt;YEAR(C57)),IF(Y56=0,0,(Q56-((Q56/Y56)*BY56))*(1+DH$2)))</f>
        <v>0</v>
      </c>
      <c r="R57" s="327" cm="1">
        <f t="array" ref="R57">_xlfn.IFS(OR(ISBLANK(Setup!C$75),Setup!C$75&gt;YEAR(C57),AND(A57&gt;DA$6,B57&gt;DB$6)),0,Setup!C$75=YEAR(C57),Setup!C$74,AND(OR(A57&lt;=DA$4,B57&lt;=DB$4),Setup!C$75&lt;YEAR(C57)),R56*(1+DH$1),AND(A57&gt;DA$4,B57&gt;DB$4,Setup!C$75&lt;YEAR(C57)),IF(Y56=0,0,(R56-((R56/Y56)*BY56))*(1+DH$2)))</f>
        <v>0</v>
      </c>
      <c r="S57" s="327"/>
      <c r="T57" s="326" cm="1">
        <f t="array" ref="T57">_xlfn.IFS(AND($A57&gt;$DA$6,$B57&gt;$DB$6),0,AND($W$2=$DA$2,$A57&gt;$DA$4),IF($Y56=0,0,(T56-((T56/$Y56)*$BY56))*(1+$DH$2)),AND($W$2=$DB$2,$B57&gt;$DB$4),IF($Y56=0,0,(T56-((T56/$Y56)*$BY56))*(1+$DH$2)),AND($W$2=$DA$2,OR($A57&gt;$DA$3,$A57&gt;$DA$6)),(T56*(1+$DH$1)),AND($W$2=$DB$2,OR($B57&gt;$DB$3,$B57&gt;$DB$6)),(T56*(1+$DH$1)),AND($W$2=$DA$2,$A57&lt;=$DA$3,$A57&lt;=$DA$4,$A57&lt;=$DA$5),(T56*(1+$DH$1))+(T$4),AND($W$2=$DB$2,$B57&lt;=$DB$3,$B57&lt;=$DB$4,$B57&lt;=$DB$5),(T56*(1+$DH$1))+(T$4))</f>
        <v>0</v>
      </c>
      <c r="U57" s="326" cm="1">
        <f t="array" ref="U57">_xlfn.IFS(AND($A57&gt;$DA$6,$B57&gt;$DB$6),0,AND($W$2=$DA$2,$A57&gt;$DA$4),IF($Y56=0,0,(U56-((U56/$Y56)*$BY56))*(1+$DH$2)),AND($W$2=$DB$2,$B57&gt;$DB$4),IF($Y56=0,0,(U56-((U56/$Y56)*$BY56))*(1+$DH$2)),AND($W$2=$DA$2,OR($A57&gt;$DA$3,$A57&gt;$DA$6)),(U56*(1+$DH$1)),AND($W$2=$DB$2,OR($B57&gt;$DB$3,$B57&gt;$DB$6)),(U56*(1+$DH$1)),AND($W$2=$DA$2,$A57&lt;=$DA$3,$A57&lt;=$DA$4,$A57&lt;=$DA$5),(U56*(1+$DH$1))+(U$4),AND($W$2=$DB$2,$B57&lt;=$DB$3,$B57&lt;=$DB$4,$B57&lt;=$DB$5),(U56*(1+$DH$1))+(U$4))</f>
        <v>0</v>
      </c>
      <c r="V57" s="326" cm="1">
        <f t="array" ref="V57">_xlfn.IFS(AND($A57&gt;$DA$6,$B57&gt;$DB$6),0,AND($W$2=$DA$2,$A57&gt;$DA$4),IF($Y56=0,0,(V56-((V56/$Y56)*$BY56))*(1+$DH$2)),AND($W$2=$DB$2,$B57&gt;$DB$4),IF($Y56=0,0,(V56-((V56/$Y56)*$BY56))*(1+$DH$2)),AND($W$2=$DA$2,OR($A57&gt;$DA$3,$A57&gt;$DA$6)),(V56*(1+$DH$1)),AND($W$2=$DB$2,OR($B57&gt;$DB$3,$B57&gt;$DB$6)),(V56*(1+$DH$1)),AND($W$2=$DA$2,$A57&lt;=$DA$3,$A57&lt;=$DA$4,$A57&lt;=$DA$5),(V56*(1+$DH$1))+(V$4),AND($W$2=$DB$2,$B57&lt;=$DB$3,$B57&lt;=$DB$4,$B57&lt;=$DB$5),(V56*(1+$DH$1))+(V$4))</f>
        <v>0</v>
      </c>
      <c r="W57" s="326" cm="1">
        <f t="array" ref="W57">_xlfn.IFS(AND($A57&gt;$DA$6,$B57&gt;$DB$6),0,AND($W$2=$DA$2,$A57&gt;$DA$4),IF($Y56=0,0,(W56-((W56/$Y56)*$BY56))*(1+$DH$2)),AND($W$2=$DB$2,$B57&gt;$DB$4),IF($Y56=0,0,(W56-((W56/$Y56)*$BY56))*(1+$DH$2)),AND($W$2=$DA$2,OR($A57&gt;$DA$3,$A57&gt;$DA$6)),(W56*(1+$DH$1)),AND($W$2=$DB$2,OR($B57&gt;$DB$3,$B57&gt;$DB$6)),(W56*(1+$DH$1)),AND($W$2=$DA$2,$A57&lt;=$DA$3,$A57&lt;=$DA$4,$A57&lt;=$DA$5),(W56*(1+$DH$1))+(W$4),AND($W$2=$DB$2,$B57&lt;=$DB$3,$B57&lt;=$DB$4,$B57&lt;=$DB$5),(W56*(1+$DH$1))+(W$4))</f>
        <v>0</v>
      </c>
      <c r="Y57" s="1">
        <f t="shared" si="47"/>
        <v>0</v>
      </c>
      <c r="Z57" s="2">
        <f t="shared" si="37"/>
        <v>0</v>
      </c>
      <c r="AA57" s="375"/>
      <c r="AC57" s="326" cm="1">
        <f t="array" ref="AC57">_xlfn.IFS(AND(A57&gt;DA$6,B57&gt;DB$6),0,AND(A57&gt;DA$4,B57&gt;DB$4),IF(AG56=0,0,(AC56-((AC56/AG56)*CA56))*(1+DH$2)),OR(A57&gt;DA$3,A57&gt;DA$6),AC56*(1+DH$1),A57&gt;DA$4,(AC56-CA56)*(1+DH$2),AND(A57&lt;=DA$3,A57&lt;=DA$4,A57&lt;=DA$6),(AC56*(1+DH$1))+(AC$4))</f>
        <v>0</v>
      </c>
      <c r="AD57" s="375"/>
      <c r="AE57" s="326" cm="1">
        <f t="array" ref="AE57">_xlfn.IFS(AND(A57&gt;DA$6,B57&gt;DB$6),0,AND(A57&gt;DA$4,B57&gt;DB$4),IF(AG56=0,0,(AE56-((AE56/AG56)*CA56))*(1+DH$2)),OR(B57&gt;DB$3,B57&gt;DB$6),AE56*(1+DH$1),B57&gt;DB$4,(AE56-CA56)*(1+DH$2),AND(B57&lt;=DB$3,B57&lt;=DB$4,B57&lt;=DB$6),(AE56*(1+DH$1))+(AE$4))</f>
        <v>0</v>
      </c>
      <c r="AF57" s="375"/>
      <c r="AG57" s="1">
        <f t="shared" si="61"/>
        <v>0</v>
      </c>
      <c r="AH57" s="2">
        <f t="shared" si="48"/>
        <v>0</v>
      </c>
      <c r="AI57" s="14">
        <f t="shared" si="38"/>
        <v>0</v>
      </c>
      <c r="AK57" s="1">
        <f t="shared" si="49"/>
        <v>0</v>
      </c>
      <c r="AL57" s="14">
        <f t="shared" si="39"/>
        <v>0</v>
      </c>
      <c r="AM57" s="14" t="str">
        <f t="shared" si="23"/>
        <v/>
      </c>
      <c r="AO57" s="15">
        <f t="shared" si="40"/>
        <v>0</v>
      </c>
      <c r="AP57" s="1">
        <f>IF(AND(B57&gt;=$DB$6,A57&gt;=$DA$6),0,AP56*(1+Lookups!C$12))</f>
        <v>0</v>
      </c>
      <c r="AQ57" s="1">
        <f>IF(AND(B57&gt;=$DB$6,A57&gt;=$DA$6),0,AQ56*(1+Lookups!C$12))</f>
        <v>0</v>
      </c>
      <c r="AS57" s="1" cm="1">
        <f t="array" ref="AS57">_xlfn.IFS(OR(AS$6="",AND(A57&gt;=DA$6,B57&gt;=DB$6),AND(A57&lt;DA$4,B57&lt;DB$4)),0,AND(A57=DA$4,DA$4&lt;=DB$4),AS$6,AND(B57=DB$4,DA$4&gt;=DB$4),AS$6,OR(A57&gt;DA$4,B57&gt;DB$4),AS56*(1+Setup!C$103))</f>
        <v>0</v>
      </c>
      <c r="AT57" s="1" cm="1">
        <f t="array" ref="AT57">_xlfn.IFS(OR(AT$6="",AND(A57&gt;=DA$6,B57&gt;=DB$6),AND(A57&lt;DA$4,B57&lt;DB$4)),0,AND(A57=DA$4,DA$4&lt;=DB$4),AT$6,AND(B57=DB$4,DA$4&gt;=DB$4),AT$6,OR(A57&gt;DA$4,B57&gt;DB$4),AT56*(1+Setup!C$103))</f>
        <v>0</v>
      </c>
      <c r="AU57" s="1" cm="1">
        <f t="array" ref="AU57">_xlfn.IFS(OR(AU$6="",AND(A57&gt;=DA$6,B57&gt;=DB$6),AND(A57&lt;DA$4,B57&lt;DB$4)),0,AND(A57=DA$4,DA$4&lt;=DB$4),AU$6,AND(B57=DB$4,DA$4&gt;=DB$4),AU$6,OR(A57&gt;DA$4,B57&gt;DB$4),AU56*(1+Setup!C$103))</f>
        <v>0</v>
      </c>
      <c r="AV57" s="1" cm="1">
        <f t="array" ref="AV57">_xlfn.IFS(OR(AV$6="",AND(A57&gt;=DA$6,B57&gt;=DB$6),AND(A57&lt;DA$4,B57&lt;DB$4)),0,AND(A57=DA$4,DA$4&lt;=DB$4),AV$6,AND(B57=DB$4,DA$4&gt;=DB$4),AV$6,OR(A57&gt;DA$4,B57&gt;DB$4),AV56*(1+Setup!C$103))</f>
        <v>0</v>
      </c>
      <c r="AW57" s="1">
        <f t="shared" si="41"/>
        <v>0</v>
      </c>
      <c r="AY57" s="1" cm="1">
        <f t="array" ref="AY57">_xlfn.IFS(OR(AND(A57&gt;=DA$6,B57&gt;=DB$6),A57&lt;DA$5),0,AND(A57=DA$5,YEAR(C57)&gt;=Lookups!D$89),VLOOKUP(A57,Lookups!B$94:F$102,3),AND(A57=DA$5,YEAR(C57)&lt;Lookups!D$89),VLOOKUP(A57,Lookups!B$94:F$102,2),AND(A57&gt;DA$5,YEAR(C57)=Lookups!D$89),(AY56*Lookups!D$90)*(1+Lookups!C$20),AND(A57&gt;DA$5,YEAR(C57)&lt;&gt;Lookups!D$89),AY56*(1+Lookups!C$20))</f>
        <v>0</v>
      </c>
      <c r="AZ57" s="1" cm="1">
        <f t="array" ref="AZ57">_xlfn.IFS(OR(ISBLANK(Setup!K$91),Setup!K$91=0,AND(A57&gt;=DA$6,B57&gt;=DB$6),B57&lt;DB$5),0,AND(B57=DB$5,YEAR(C57)&gt;=Lookups!D$89),VLOOKUP(B57,Lookups!B$94:F$102,5),AND(B57=DB$5,YEAR(C57)&lt;Lookups!D$89),VLOOKUP(B57,Lookups!B$94:F$102,4),AND(B57&gt;DB$5,YEAR(C57)=Lookups!D$89),(AZ56*Lookups!D$90)*(1+Lookups!C$20),AND(B57&gt;DB$5,YEAR(C57)&lt;&gt;Lookups!D$89),AZ56*(1+Lookups!C$20))</f>
        <v>0</v>
      </c>
      <c r="BA57" s="65">
        <f>IF(OR(AY57&gt;0,AZ57&gt;0),(AY57+AZ57)*Lookups!D$120,0)</f>
        <v>0</v>
      </c>
      <c r="BB57" s="1" cm="1">
        <f t="array" ref="BB57">_xlfn.IFS(AND(A57&lt;DA$4,B57&lt;DB$4),0,OR(_xlfn.XOR(A57&gt;DA$6,B57&gt;DB$6),_xlfn.XOR(A57&gt;=DA$4,B57&gt;=DB$4)),IF(AP57-SUM(AW57,AY57:AZ57)&gt;0,AP57-SUM(AW57,AY57:AZ57),0),AQ57-SUM(AW57,AY57:AZ57)&gt;0, AQ57-SUM(AW57,AY57:AZ57),AQ57-SUM(AW57,AY57:AZ57)&lt;=0,0)</f>
        <v>0</v>
      </c>
      <c r="BD57" s="1" cm="1">
        <f t="array" ref="BD57">_xlfn.IFS(AND(A57&gt;=DA$6,B57&gt;=DB$6),0,AND(A57&gt;=DA$6,B57&gt;=Lookups!C$35),D57/VLOOKUP(B57,Lookups!C$37:D$67,2),A57&lt;Lookups!$C$35,0,A57&gt;=Lookups!C$35,D57/VLOOKUP(A57,Lookups!C$37:D$67,2))</f>
        <v>0</v>
      </c>
      <c r="BE57" s="1" cm="1">
        <f t="array" ref="BE57">_xlfn.IFS(AND(A57&gt;=DA$6,B57&gt;=DB$6),0,AND(B57&gt;=DB$6,A57&gt;=Lookups!C$35),F57/VLOOKUP(A57,Lookups!C$37:D$67,2),B57&lt;Lookups!$C$35,0,B57&gt;=Lookups!C$35,F57/VLOOKUP(B57,Lookups!C$37:D$67,2))</f>
        <v>0</v>
      </c>
      <c r="BF57" s="1" cm="1">
        <f t="array" ref="BF57">_xlfn.IFS($BB57&lt;=0,0,AND(A57&gt;=DA$4,B57&gt;=DB$4,$BB57*I57&lt;(BD57+BE57)),0,AND(A57&gt;=DA$4,B57&gt;=DB$4,H57&gt;=(BB57*I57)-BD57-BE57),(BB57*I57)-BD57-BE57,AND(A57&gt;=DA$4,B57&gt;=DB$4,H57&lt;(BB57*I57)-BD57-BE57),H57,AND(A57&gt;=DA$4,$BB57*I57&lt;(BD57)),0,AND(A57&gt;=DA$4,H57&gt;=(BB57*I57)-BD57),(BB57*I57)-BD57,AND(A57&gt;=DA$4,H57&lt;(BB57*I57)-BD57),H57,AND(B57&gt;=DB$4,$BB57*I57&lt;(BE57)),0,AND(B57&gt;=DB$4,H57&gt;=(BB57*I57)-BE57),(BB57*I57)-BE57,AND(B57&gt;=DB$4,H57&lt;(BB57*I57)-BE57),H57)</f>
        <v>0</v>
      </c>
      <c r="BG57" s="1">
        <f t="shared" si="53"/>
        <v>0</v>
      </c>
      <c r="BH57" s="1" cm="1">
        <f t="array" ref="BH57">_xlfn.IFS(OR(D57=0,A57&lt;DA$4),0,AND(A57&gt;=DA$4,B57&gt;=DB$4,D57&lt;BD57+($BF57*(D57/$H57))+(-$BP57*(D57/$H57))),D57,AND(A57&gt;=DA$4,B57&gt;=DB$4,$BB57&gt;$BG57),BD57+($BF57*(D57/$H57))+(-$BP57*(D57/$H57)),AND(A57&gt;=DA$4,B57&gt;=DB$4,OR(A57&gt;DA$6, B57&gt;DB$6),$AP57-SUM($AW57,$AY57:$AZ57)&lt;0),BD57+($BF57*(D57/$H57))+(-$BP57*(D57/$H57))+(BP57*(D57/$H57)),AND(A57&gt;=DA$4,B57&gt;=DB$4,$AQ57-SUM($AW57,$AY57:$AZ57)&lt;0),BD57+($BF57*(D57/$H57))+(-$BP57*(D57/$H57))+(BP57*(D57/$H57)),AND(A57&gt;=DA$4,D57&lt;BD57+$BF57-$BP57),D57,AND(A57&gt;=DA$4,$AP57-SUM($AW57,$AY57:$AZ57)&lt;0),BD57+($BF57*(D57/$H57))+(-$BP57*(D57/$H57))+(BP57*(D57/$H57)),A57&gt;=DA$4,BD57+$BF57-$BP57)</f>
        <v>0</v>
      </c>
      <c r="BI57" s="1" cm="1">
        <f t="array" ref="BI57">_xlfn.IFS(OR(F57=0,B57&lt;DB$4),0,AND(A57&gt;=DA$4,B57&gt;=DB$4,F57&lt;BE57+($BF57*(F57/$H57))+(-$BP57*(F57/$H57))),F57,AND(A57&gt;=DA$4,B57&gt;=DB$4,$BB57&gt;$BG57),BE57+($BF57*(F57/$H57))+(-$BP57*(F57/$H57)),AND(A57&gt;=DA$4,B57&gt;=DB$4,OR(A57&gt;DA$6, B57&gt;DB$6),$AP57-SUM($AW57,$AY57:$AZ57)&lt;0),BE57+($BF57*(F57/$H57))+(-$BP57*(F57/$H57))+(BP57*(F57/$H57)),AND(A57&gt;=DA$4,B57&gt;=DB$4,$AQ57-SUM($AW57,$AY57:$AZ57)&lt;0),BE57+($BF57*(F57/$H57))+(-$BP57*(F57/$H57))+(BP57*(F57/$H57)),AND(B57&gt;=DB$4,F57&lt;BE57+$BF57-$BP57),F57,AND(B57&gt;=DB$4,$AP57-SUM($AW57,$AY57:$AZ57)&lt;0),BE57+($BF57*(F57/$H57))+(-$BP57*(F57/$H57))+(BP57*(F57/$H57)),B57&gt;=DB$4,BE57+$BF57-$BP57)</f>
        <v>0</v>
      </c>
      <c r="BJ57" s="64" cm="1">
        <f t="array" ref="BJ57">IF(AW57+BA57+BG57&gt;0, AW57+BA57+BG57-_xlfn.IFS(AND(A57&gt;=65,B57&gt;=65),VLOOKUP(Setup!I$4,Lookups!C$133:F$136,4),OR(A57&gt;=65,B57&gt;=65),VLOOKUP(Setup!I$4,Lookups!C$133:E$136,3),AND(A57&lt;65,B57&lt;65),VLOOKUP(Setup!I$4,Lookups!C$133:D$136,2)),0)</f>
        <v>0</v>
      </c>
      <c r="BK57" s="1" cm="1">
        <f t="array" ref="BK57">IF(BJ57&gt;0,_xlfn.IFS(Setup!I$4=Lookups!D$109,-_xlfn.IFS($BJ57&gt;=Lookups!D$157, Lookups!F$157+($BJ57-Lookups!D$157)*Lookups!G$157,$BJ57&gt;=Lookups!D$156, Lookups!F$156+($BJ57-Lookups!D$156)*Lookups!G$156,$BJ57&gt;=Lookups!D$155, Lookups!F$155+($BJ57-Lookups!D$155)*Lookups!G$155,$BJ57&gt;=Lookups!D$154, Lookups!F$154+($BJ57-Lookups!D$154)*Lookups!G$154,$BJ57&gt;=Lookups!D$153, Lookups!F$153+($BJ57-Lookups!D$153)*Lookups!G$153,$BJ57&gt;=Lookups!D$152, Lookups!F$152+($BJ57-Lookups!D$152)*Lookups!G$152,$BJ57&lt;Lookups!D$152,$BJ57*Lookups!G$151),Setup!I$4=Lookups!D$110,-_xlfn.IFS($BJ57&gt;=Lookups!D$167, Lookups!F$167+($BJ57-Lookups!D$167)*Lookups!G$167,$BJ57&gt;=Lookups!D$166, Lookups!F$166+($BJ57-Lookups!D$166)*Lookups!G$166,$BJ57&gt;=Lookups!D$165, Lookups!F$165+($BJ57-Lookups!D$165)*Lookups!G$165,$BJ57&gt;=Lookups!D$164, Lookups!F$164+($BJ57-Lookups!D$164)*Lookups!G$164,$BJ57&gt;=Lookups!D$163, Lookups!F$163+($BJ57-Lookups!D$163)*Lookups!G$163,$BJ57&gt;=Lookups!D$162, Lookups!F$162+($BJ57-Lookups!D$162)*Lookups!G$162,$BJ57&lt;Lookups!D$162,$BJ57*Lookups!G$161),Setup!I$4=Lookups!D$111,-_xlfn.IFS($BJ57&gt;=Lookups!D$177, Lookups!F$177+($BJ57-Lookups!D$177)*Lookups!G$177,$BJ57&gt;=Lookups!D$176, Lookups!F$176+($BJ57-Lookups!D$176)*Lookups!G$176,$BJ57&gt;=Lookups!D$175, Lookups!F$175+($BJ57-Lookups!D$175)*Lookups!G$175,$BJ57&gt;=Lookups!D$174, Lookups!F$174+($BJ57-Lookups!D$174)*Lookups!G$174,$BJ57&gt;=Lookups!D$173, Lookups!F$173+($BJ57-Lookups!D$173)*Lookups!G$173,$BJ57&gt;=Lookups!D$172, Lookups!F$172+($BJ57-Lookups!D$172)*Lookups!G$172,$BJ57&lt;Lookups!D$172,$BJ57*Lookups!G$171), Setup!I$4=Lookups!D$112,-_xlfn.IFS($BJ57&gt;=Lookups!D$187, Lookups!F$187+($BJ57-Lookups!D$187)*Lookups!G$187,$BJ57&gt;=Lookups!D$186, Lookups!F$186+($BJ57-Lookups!D$186)*Lookups!G$186,$BJ57&gt;=Lookups!D$185, Lookups!F$185+($BJ57-Lookups!D$185)*Lookups!G$185,$BJ57&gt;=Lookups!D$184, Lookups!F$184+($BJ57-Lookups!D$184)*Lookups!G$184,$BJ57&gt;=Lookups!D$183, Lookups!F$183+($BJ57-Lookups!D$183)*Lookups!G$183,$BJ57&gt;=Lookups!D$182, Lookups!F$182+($BJ57-Lookups!D$182)*Lookups!G$182,$BJ57&lt;Lookups!D$182,$BJ57*Lookups!G$181)),0)</f>
        <v>0</v>
      </c>
      <c r="BL57" s="18">
        <f t="shared" si="54"/>
        <v>0</v>
      </c>
      <c r="BM57" s="134">
        <f t="shared" si="55"/>
        <v>0</v>
      </c>
      <c r="BN57" s="134" cm="1">
        <f t="array" aca="1" ref="BN57" ca="1">INDIRECT(Setup!I$6&amp;"!"&amp;"A"&amp;ROW())</f>
        <v>0</v>
      </c>
      <c r="BO57" s="134">
        <f t="shared" si="56"/>
        <v>0</v>
      </c>
      <c r="BP57" s="1">
        <f t="shared" si="57"/>
        <v>0</v>
      </c>
      <c r="BQ57" s="1">
        <f t="shared" si="58"/>
        <v>0</v>
      </c>
      <c r="BS57" s="1">
        <f t="shared" si="50"/>
        <v>0</v>
      </c>
      <c r="BT57" s="1" cm="1">
        <f t="array" ref="BT57">-IF(BS57&gt;0,_xlfn.IFS((AW57+BA57+BG57+BS57)&gt;=VLOOKUP(Setup!I$4,Lookups!C$210:E$213,3),BS57*Lookups!D$203,(AW57+BA57+BG57+BS57)&gt;=VLOOKUP(Setup!I$4,Lookups!C$210:E$213,2),BS57*Lookups!D$197,(AW57+BA57+BG57+BS57)&lt;VLOOKUP(Setup!I$4,Lookups!C$210:E$213,2),0),0)</f>
        <v>0</v>
      </c>
      <c r="BU57" s="18">
        <f t="shared" si="51"/>
        <v>0</v>
      </c>
      <c r="BV57" s="1">
        <f t="shared" si="52"/>
        <v>0</v>
      </c>
      <c r="BW57" s="1" cm="1">
        <f t="array" aca="1" ref="BW57" ca="1">INDIRECT(Setup!I$6&amp;"!"&amp;"A"&amp;ROW()+100)</f>
        <v>0</v>
      </c>
      <c r="BX57" s="1">
        <f t="shared" ca="1" si="44"/>
        <v>0</v>
      </c>
      <c r="BY57" s="1">
        <f t="shared" ca="1" si="45"/>
        <v>0</v>
      </c>
      <c r="CA57" s="1">
        <f t="shared" si="59"/>
        <v>0</v>
      </c>
      <c r="CC57" s="1" cm="1">
        <f t="array" ref="CC57">_xlfn.IFS(AND(A57&lt;$DA$4,B57&lt;$DB$4),0,AND(AND(A57&gt;=$DA$4,B57&gt;=$DB$4),AND(A57&lt;=$DA$6,B57&lt;=$DB$6),AND(BH57=0,BI57=0)),SUM(AW57,AY57:AZ57,BD57:BF57,BP57,BS57,CA57)-AQ57,AND(AND(A57&gt;=$DA$4,B57&gt;=$DB$4),AND(A57&lt;=$DA$6,B57&lt;=$DB$6)),SUM(AW57,AY57:AZ57,BD57:BF57,BS57,CA57)-AQ57,AND(OR(A57&gt;=$DA$4,B57&gt;=$DB$4),AND(BH57=0,BI57=0)),SUM(AW57,AY57:AZ57,BD57:BF57,BP57,BS57,CA57)-AP57,OR(A57&gt;=$DA$4,B57&gt;=$DB$4),SUM(AW57,AY57:AZ57,BD57:BF57,BS57,CA57)-AP57)</f>
        <v>0</v>
      </c>
      <c r="CD57" s="142" t="str">
        <f t="shared" si="30"/>
        <v/>
      </c>
    </row>
    <row r="58" spans="1:82" x14ac:dyDescent="0.3">
      <c r="A58" s="354">
        <f t="shared" si="62"/>
        <v>51</v>
      </c>
      <c r="B58" s="354">
        <f t="shared" si="63"/>
        <v>51</v>
      </c>
      <c r="C58" s="359">
        <f t="shared" si="33"/>
        <v>18629</v>
      </c>
      <c r="D58" s="326" cm="1">
        <f t="array" ref="D58">_xlfn.IFS(AND(A58&gt;DA$6,B58&gt;DB$6),0,AND(A58&gt;DA$3,A58&lt;=DA$4),D57*(1+DH$1),OR(A58&gt;DA$6,A58&gt;DA$4),(D57-BH57)*(1+DH$2),A58&lt;=DA$4,(D57*(1+DH$1))+(D$4))</f>
        <v>0</v>
      </c>
      <c r="E58" s="375"/>
      <c r="F58" s="326" cm="1">
        <f t="array" ref="F58">_xlfn.IFS(AND(A58&gt;DA$6,B58&gt;DB$6),0,AND(B58&gt;DB$3,B58&lt;=DB$4),F57*(1+DH$1),OR(B58&gt;DB$6,B58&gt;DB$4),(F57-BI57)*(1+DH$2),B58&lt;=DB$4,(F57*(1+DH$1))+(F$4))</f>
        <v>0</v>
      </c>
      <c r="G58" s="375"/>
      <c r="H58" s="1">
        <f t="shared" si="60"/>
        <v>0</v>
      </c>
      <c r="I58" s="2">
        <f t="shared" si="36"/>
        <v>0</v>
      </c>
      <c r="J58" s="14">
        <f t="shared" si="64"/>
        <v>0</v>
      </c>
      <c r="L58" s="402" cm="1">
        <f t="array" ref="L58">_xlfn.IFS(AND(A58&gt;DA$6,B58&gt;DB$6),0,A58&lt;DA$6,0,A58=DA$6,L$4,AND(A58&gt;DA$6,B58&lt;=DB$4),L57*(1+DH$1),AND(A58&gt;DA$6,B58&gt;DB$4),IF(Y57=0,0,(L57-((L57/Y57)*BY57))*(1+DH$2)))</f>
        <v>0</v>
      </c>
      <c r="M58" s="402" cm="1">
        <f t="array" ref="M58">_xlfn.IFS(AND(A58&gt;DA$6,B58&gt;DB$6),0,B58&lt;DB$6,0,B58=DB$6,M$4,AND(B58&gt;DB$6,A58&lt;=DA$4),M57*(1+DH$1),AND(A58&gt;DA$4,B58&gt;DB$6),IF(Y57=0,0,(M57-((M57/Y57)*BY57))*(1+DH$2)))</f>
        <v>0</v>
      </c>
      <c r="N58" s="327"/>
      <c r="O58" s="327" cm="1">
        <f t="array" ref="O58">_xlfn.IFS(OR(ISBLANK(Setup!C$63),Setup!C$63&gt;YEAR(C58),AND(A58&gt;DA$6,B58&gt;DB$6),ISBLANK(Y57)),0,Setup!C$63=YEAR(C58),Setup!C$62,AND(OR(A58&lt;=DA$4,B58&lt;=DB$4),Setup!C$63&lt;YEAR(C58)),O57*(1+DH$1),AND(A58&gt;DA$4,B58&gt;DB$4,Setup!C$63&lt;YEAR(C58)),IF(Y57=0,0,(O57-((O57/Y57)*BY57))*(1+DH$2)))</f>
        <v>0</v>
      </c>
      <c r="P58" s="327" cm="1">
        <f t="array" ref="P58">_xlfn.IFS(OR(ISBLANK(Setup!C$67),Setup!C$67&gt;YEAR(C58),AND(A58&gt;DA$6,B58&gt;DB$6)),0,Setup!C$67=YEAR(C58),Setup!C$66,AND(OR(A58&lt;=DA$4,B58&lt;=DB$4),Setup!C$67&lt;YEAR(C58)),P57*(1+DH$1),AND(A58&gt;DA$4,B58&gt;DB$4,Setup!C$67&lt;YEAR(C58)),IF(Y57=0,0,(P57-((P57/Y57)*BY57))*(1+DH$2)))</f>
        <v>0</v>
      </c>
      <c r="Q58" s="327" cm="1">
        <f t="array" ref="Q58">_xlfn.IFS(OR(ISBLANK(Setup!C$71),Setup!C$71&gt;YEAR(C58),AND(A58&gt;DA$6,B58&gt;DB$6)),0,Setup!C$71=YEAR(C58),Setup!C$70,AND(OR(A58&lt;=DA$4,B58&lt;=DB$4),Setup!C$71&lt;YEAR(C58)),Q57*(1+DH$1),AND(A58&gt;DA$4,B58&gt;DB$4,Setup!C$71&lt;YEAR(C58)),IF(Y57=0,0,(Q57-((Q57/Y57)*BY57))*(1+DH$2)))</f>
        <v>0</v>
      </c>
      <c r="R58" s="327" cm="1">
        <f t="array" ref="R58">_xlfn.IFS(OR(ISBLANK(Setup!C$75),Setup!C$75&gt;YEAR(C58),AND(A58&gt;DA$6,B58&gt;DB$6)),0,Setup!C$75=YEAR(C58),Setup!C$74,AND(OR(A58&lt;=DA$4,B58&lt;=DB$4),Setup!C$75&lt;YEAR(C58)),R57*(1+DH$1),AND(A58&gt;DA$4,B58&gt;DB$4,Setup!C$75&lt;YEAR(C58)),IF(Y57=0,0,(R57-((R57/Y57)*BY57))*(1+DH$2)))</f>
        <v>0</v>
      </c>
      <c r="S58" s="327"/>
      <c r="T58" s="326" cm="1">
        <f t="array" ref="T58">_xlfn.IFS(AND($A58&gt;$DA$6,$B58&gt;$DB$6),0,AND($W$2=$DA$2,$A58&gt;$DA$4),IF($Y57=0,0,(T57-((T57/$Y57)*$BY57))*(1+$DH$2)),AND($W$2=$DB$2,$B58&gt;$DB$4),IF($Y57=0,0,(T57-((T57/$Y57)*$BY57))*(1+$DH$2)),AND($W$2=$DA$2,OR($A58&gt;$DA$3,$A58&gt;$DA$6)),(T57*(1+$DH$1)),AND($W$2=$DB$2,OR($B58&gt;$DB$3,$B58&gt;$DB$6)),(T57*(1+$DH$1)),AND($W$2=$DA$2,$A58&lt;=$DA$3,$A58&lt;=$DA$4,$A58&lt;=$DA$5),(T57*(1+$DH$1))+(T$4),AND($W$2=$DB$2,$B58&lt;=$DB$3,$B58&lt;=$DB$4,$B58&lt;=$DB$5),(T57*(1+$DH$1))+(T$4))</f>
        <v>0</v>
      </c>
      <c r="U58" s="326" cm="1">
        <f t="array" ref="U58">_xlfn.IFS(AND($A58&gt;$DA$6,$B58&gt;$DB$6),0,AND($W$2=$DA$2,$A58&gt;$DA$4),IF($Y57=0,0,(U57-((U57/$Y57)*$BY57))*(1+$DH$2)),AND($W$2=$DB$2,$B58&gt;$DB$4),IF($Y57=0,0,(U57-((U57/$Y57)*$BY57))*(1+$DH$2)),AND($W$2=$DA$2,OR($A58&gt;$DA$3,$A58&gt;$DA$6)),(U57*(1+$DH$1)),AND($W$2=$DB$2,OR($B58&gt;$DB$3,$B58&gt;$DB$6)),(U57*(1+$DH$1)),AND($W$2=$DA$2,$A58&lt;=$DA$3,$A58&lt;=$DA$4,$A58&lt;=$DA$5),(U57*(1+$DH$1))+(U$4),AND($W$2=$DB$2,$B58&lt;=$DB$3,$B58&lt;=$DB$4,$B58&lt;=$DB$5),(U57*(1+$DH$1))+(U$4))</f>
        <v>0</v>
      </c>
      <c r="V58" s="326" cm="1">
        <f t="array" ref="V58">_xlfn.IFS(AND($A58&gt;$DA$6,$B58&gt;$DB$6),0,AND($W$2=$DA$2,$A58&gt;$DA$4),IF($Y57=0,0,(V57-((V57/$Y57)*$BY57))*(1+$DH$2)),AND($W$2=$DB$2,$B58&gt;$DB$4),IF($Y57=0,0,(V57-((V57/$Y57)*$BY57))*(1+$DH$2)),AND($W$2=$DA$2,OR($A58&gt;$DA$3,$A58&gt;$DA$6)),(V57*(1+$DH$1)),AND($W$2=$DB$2,OR($B58&gt;$DB$3,$B58&gt;$DB$6)),(V57*(1+$DH$1)),AND($W$2=$DA$2,$A58&lt;=$DA$3,$A58&lt;=$DA$4,$A58&lt;=$DA$5),(V57*(1+$DH$1))+(V$4),AND($W$2=$DB$2,$B58&lt;=$DB$3,$B58&lt;=$DB$4,$B58&lt;=$DB$5),(V57*(1+$DH$1))+(V$4))</f>
        <v>0</v>
      </c>
      <c r="W58" s="326" cm="1">
        <f t="array" ref="W58">_xlfn.IFS(AND($A58&gt;$DA$6,$B58&gt;$DB$6),0,AND($W$2=$DA$2,$A58&gt;$DA$4),IF($Y57=0,0,(W57-((W57/$Y57)*$BY57))*(1+$DH$2)),AND($W$2=$DB$2,$B58&gt;$DB$4),IF($Y57=0,0,(W57-((W57/$Y57)*$BY57))*(1+$DH$2)),AND($W$2=$DA$2,OR($A58&gt;$DA$3,$A58&gt;$DA$6)),(W57*(1+$DH$1)),AND($W$2=$DB$2,OR($B58&gt;$DB$3,$B58&gt;$DB$6)),(W57*(1+$DH$1)),AND($W$2=$DA$2,$A58&lt;=$DA$3,$A58&lt;=$DA$4,$A58&lt;=$DA$5),(W57*(1+$DH$1))+(W$4),AND($W$2=$DB$2,$B58&lt;=$DB$3,$B58&lt;=$DB$4,$B58&lt;=$DB$5),(W57*(1+$DH$1))+(W$4))</f>
        <v>0</v>
      </c>
      <c r="Y58" s="1">
        <f t="shared" si="47"/>
        <v>0</v>
      </c>
      <c r="Z58" s="2">
        <f t="shared" si="37"/>
        <v>0</v>
      </c>
      <c r="AA58" s="375"/>
      <c r="AC58" s="326" cm="1">
        <f t="array" ref="AC58">_xlfn.IFS(AND(A58&gt;DA$6,B58&gt;DB$6),0,AND(A58&gt;DA$4,B58&gt;DB$4),IF(AG57=0,0,(AC57-((AC57/AG57)*CA57))*(1+DH$2)),OR(A58&gt;DA$3,A58&gt;DA$6),AC57*(1+DH$1),A58&gt;DA$4,(AC57-CA57)*(1+DH$2),AND(A58&lt;=DA$3,A58&lt;=DA$4,A58&lt;=DA$6),(AC57*(1+DH$1))+(AC$4))</f>
        <v>0</v>
      </c>
      <c r="AD58" s="375"/>
      <c r="AE58" s="326" cm="1">
        <f t="array" ref="AE58">_xlfn.IFS(AND(A58&gt;DA$6,B58&gt;DB$6),0,AND(A58&gt;DA$4,B58&gt;DB$4),IF(AG57=0,0,(AE57-((AE57/AG57)*CA57))*(1+DH$2)),OR(B58&gt;DB$3,B58&gt;DB$6),AE57*(1+DH$1),B58&gt;DB$4,(AE57-CA57)*(1+DH$2),AND(B58&lt;=DB$3,B58&lt;=DB$4,B58&lt;=DB$6),(AE57*(1+DH$1))+(AE$4))</f>
        <v>0</v>
      </c>
      <c r="AF58" s="375"/>
      <c r="AG58" s="1">
        <f t="shared" si="61"/>
        <v>0</v>
      </c>
      <c r="AH58" s="2">
        <f t="shared" si="48"/>
        <v>0</v>
      </c>
      <c r="AI58" s="14">
        <f t="shared" si="38"/>
        <v>0</v>
      </c>
      <c r="AK58" s="1">
        <f t="shared" si="49"/>
        <v>0</v>
      </c>
      <c r="AL58" s="14">
        <f t="shared" si="39"/>
        <v>0</v>
      </c>
      <c r="AM58" s="14" t="str">
        <f t="shared" si="23"/>
        <v/>
      </c>
      <c r="AO58" s="15">
        <f t="shared" si="40"/>
        <v>0</v>
      </c>
      <c r="AP58" s="1">
        <f>IF(AND(B58&gt;=$DB$6,A58&gt;=$DA$6),0,AP57*(1+Lookups!C$12))</f>
        <v>0</v>
      </c>
      <c r="AQ58" s="1">
        <f>IF(AND(B58&gt;=$DB$6,A58&gt;=$DA$6),0,AQ57*(1+Lookups!C$12))</f>
        <v>0</v>
      </c>
      <c r="AS58" s="1" cm="1">
        <f t="array" ref="AS58">_xlfn.IFS(OR(AS$6="",AND(A58&gt;=DA$6,B58&gt;=DB$6),AND(A58&lt;DA$4,B58&lt;DB$4)),0,AND(A58=DA$4,DA$4&lt;=DB$4),AS$6,AND(B58=DB$4,DA$4&gt;=DB$4),AS$6,OR(A58&gt;DA$4,B58&gt;DB$4),AS57*(1+Setup!C$103))</f>
        <v>0</v>
      </c>
      <c r="AT58" s="1" cm="1">
        <f t="array" ref="AT58">_xlfn.IFS(OR(AT$6="",AND(A58&gt;=DA$6,B58&gt;=DB$6),AND(A58&lt;DA$4,B58&lt;DB$4)),0,AND(A58=DA$4,DA$4&lt;=DB$4),AT$6,AND(B58=DB$4,DA$4&gt;=DB$4),AT$6,OR(A58&gt;DA$4,B58&gt;DB$4),AT57*(1+Setup!C$103))</f>
        <v>0</v>
      </c>
      <c r="AU58" s="1" cm="1">
        <f t="array" ref="AU58">_xlfn.IFS(OR(AU$6="",AND(A58&gt;=DA$6,B58&gt;=DB$6),AND(A58&lt;DA$4,B58&lt;DB$4)),0,AND(A58=DA$4,DA$4&lt;=DB$4),AU$6,AND(B58=DB$4,DA$4&gt;=DB$4),AU$6,OR(A58&gt;DA$4,B58&gt;DB$4),AU57*(1+Setup!C$103))</f>
        <v>0</v>
      </c>
      <c r="AV58" s="1" cm="1">
        <f t="array" ref="AV58">_xlfn.IFS(OR(AV$6="",AND(A58&gt;=DA$6,B58&gt;=DB$6),AND(A58&lt;DA$4,B58&lt;DB$4)),0,AND(A58=DA$4,DA$4&lt;=DB$4),AV$6,AND(B58=DB$4,DA$4&gt;=DB$4),AV$6,OR(A58&gt;DA$4,B58&gt;DB$4),AV57*(1+Setup!C$103))</f>
        <v>0</v>
      </c>
      <c r="AW58" s="1">
        <f t="shared" si="41"/>
        <v>0</v>
      </c>
      <c r="AY58" s="1" cm="1">
        <f t="array" ref="AY58">_xlfn.IFS(OR(AND(A58&gt;=DA$6,B58&gt;=DB$6),A58&lt;DA$5),0,AND(A58=DA$5,YEAR(C58)&gt;=Lookups!D$89),VLOOKUP(A58,Lookups!B$94:F$102,3),AND(A58=DA$5,YEAR(C58)&lt;Lookups!D$89),VLOOKUP(A58,Lookups!B$94:F$102,2),AND(A58&gt;DA$5,YEAR(C58)=Lookups!D$89),(AY57*Lookups!D$90)*(1+Lookups!C$20),AND(A58&gt;DA$5,YEAR(C58)&lt;&gt;Lookups!D$89),AY57*(1+Lookups!C$20))</f>
        <v>0</v>
      </c>
      <c r="AZ58" s="1" cm="1">
        <f t="array" ref="AZ58">_xlfn.IFS(OR(ISBLANK(Setup!K$91),Setup!K$91=0,AND(A58&gt;=DA$6,B58&gt;=DB$6),B58&lt;DB$5),0,AND(B58=DB$5,YEAR(C58)&gt;=Lookups!D$89),VLOOKUP(B58,Lookups!B$94:F$102,5),AND(B58=DB$5,YEAR(C58)&lt;Lookups!D$89),VLOOKUP(B58,Lookups!B$94:F$102,4),AND(B58&gt;DB$5,YEAR(C58)=Lookups!D$89),(AZ57*Lookups!D$90)*(1+Lookups!C$20),AND(B58&gt;DB$5,YEAR(C58)&lt;&gt;Lookups!D$89),AZ57*(1+Lookups!C$20))</f>
        <v>0</v>
      </c>
      <c r="BA58" s="65">
        <f>IF(OR(AY58&gt;0,AZ58&gt;0),(AY58+AZ58)*Lookups!D$120,0)</f>
        <v>0</v>
      </c>
      <c r="BB58" s="1" cm="1">
        <f t="array" ref="BB58">_xlfn.IFS(AND(A58&lt;DA$4,B58&lt;DB$4),0,OR(_xlfn.XOR(A58&gt;DA$6,B58&gt;DB$6),_xlfn.XOR(A58&gt;=DA$4,B58&gt;=DB$4)),IF(AP58-SUM(AW58,AY58:AZ58)&gt;0,AP58-SUM(AW58,AY58:AZ58),0),AQ58-SUM(AW58,AY58:AZ58)&gt;0, AQ58-SUM(AW58,AY58:AZ58),AQ58-SUM(AW58,AY58:AZ58)&lt;=0,0)</f>
        <v>0</v>
      </c>
      <c r="BD58" s="1" cm="1">
        <f t="array" ref="BD58">_xlfn.IFS(AND(A58&gt;=DA$6,B58&gt;=DB$6),0,AND(A58&gt;=DA$6,B58&gt;=Lookups!C$35),D58/VLOOKUP(B58,Lookups!C$37:D$67,2),A58&lt;Lookups!$C$35,0,A58&gt;=Lookups!C$35,D58/VLOOKUP(A58,Lookups!C$37:D$67,2))</f>
        <v>0</v>
      </c>
      <c r="BE58" s="1" cm="1">
        <f t="array" ref="BE58">_xlfn.IFS(AND(A58&gt;=DA$6,B58&gt;=DB$6),0,AND(B58&gt;=DB$6,A58&gt;=Lookups!C$35),F58/VLOOKUP(A58,Lookups!C$37:D$67,2),B58&lt;Lookups!$C$35,0,B58&gt;=Lookups!C$35,F58/VLOOKUP(B58,Lookups!C$37:D$67,2))</f>
        <v>0</v>
      </c>
      <c r="BF58" s="1" cm="1">
        <f t="array" ref="BF58">_xlfn.IFS($BB58&lt;=0,0,AND(A58&gt;=DA$4,B58&gt;=DB$4,$BB58*I58&lt;(BD58+BE58)),0,AND(A58&gt;=DA$4,B58&gt;=DB$4,H58&gt;=(BB58*I58)-BD58-BE58),(BB58*I58)-BD58-BE58,AND(A58&gt;=DA$4,B58&gt;=DB$4,H58&lt;(BB58*I58)-BD58-BE58),H58,AND(A58&gt;=DA$4,$BB58*I58&lt;(BD58)),0,AND(A58&gt;=DA$4,H58&gt;=(BB58*I58)-BD58),(BB58*I58)-BD58,AND(A58&gt;=DA$4,H58&lt;(BB58*I58)-BD58),H58,AND(B58&gt;=DB$4,$BB58*I58&lt;(BE58)),0,AND(B58&gt;=DB$4,H58&gt;=(BB58*I58)-BE58),(BB58*I58)-BE58,AND(B58&gt;=DB$4,H58&lt;(BB58*I58)-BE58),H58)</f>
        <v>0</v>
      </c>
      <c r="BG58" s="1">
        <f t="shared" si="53"/>
        <v>0</v>
      </c>
      <c r="BH58" s="1" cm="1">
        <f t="array" ref="BH58">_xlfn.IFS(OR(D58=0,A58&lt;DA$4),0,AND(A58&gt;=DA$4,B58&gt;=DB$4,D58&lt;BD58+($BF58*(D58/$H58))+(-$BP58*(D58/$H58))),D58,AND(A58&gt;=DA$4,B58&gt;=DB$4,$BB58&gt;$BG58),BD58+($BF58*(D58/$H58))+(-$BP58*(D58/$H58)),AND(A58&gt;=DA$4,B58&gt;=DB$4,OR(A58&gt;DA$6, B58&gt;DB$6),$AP58-SUM($AW58,$AY58:$AZ58)&lt;0),BD58+($BF58*(D58/$H58))+(-$BP58*(D58/$H58))+(BP58*(D58/$H58)),AND(A58&gt;=DA$4,B58&gt;=DB$4,$AQ58-SUM($AW58,$AY58:$AZ58)&lt;0),BD58+($BF58*(D58/$H58))+(-$BP58*(D58/$H58))+(BP58*(D58/$H58)),AND(A58&gt;=DA$4,D58&lt;BD58+$BF58-$BP58),D58,AND(A58&gt;=DA$4,$AP58-SUM($AW58,$AY58:$AZ58)&lt;0),BD58+($BF58*(D58/$H58))+(-$BP58*(D58/$H58))+(BP58*(D58/$H58)),A58&gt;=DA$4,BD58+$BF58-$BP58)</f>
        <v>0</v>
      </c>
      <c r="BI58" s="1" cm="1">
        <f t="array" ref="BI58">_xlfn.IFS(OR(F58=0,B58&lt;DB$4),0,AND(A58&gt;=DA$4,B58&gt;=DB$4,F58&lt;BE58+($BF58*(F58/$H58))+(-$BP58*(F58/$H58))),F58,AND(A58&gt;=DA$4,B58&gt;=DB$4,$BB58&gt;$BG58),BE58+($BF58*(F58/$H58))+(-$BP58*(F58/$H58)),AND(A58&gt;=DA$4,B58&gt;=DB$4,OR(A58&gt;DA$6, B58&gt;DB$6),$AP58-SUM($AW58,$AY58:$AZ58)&lt;0),BE58+($BF58*(F58/$H58))+(-$BP58*(F58/$H58))+(BP58*(F58/$H58)),AND(A58&gt;=DA$4,B58&gt;=DB$4,$AQ58-SUM($AW58,$AY58:$AZ58)&lt;0),BE58+($BF58*(F58/$H58))+(-$BP58*(F58/$H58))+(BP58*(F58/$H58)),AND(B58&gt;=DB$4,F58&lt;BE58+$BF58-$BP58),F58,AND(B58&gt;=DB$4,$AP58-SUM($AW58,$AY58:$AZ58)&lt;0),BE58+($BF58*(F58/$H58))+(-$BP58*(F58/$H58))+(BP58*(F58/$H58)),B58&gt;=DB$4,BE58+$BF58-$BP58)</f>
        <v>0</v>
      </c>
      <c r="BJ58" s="64" cm="1">
        <f t="array" ref="BJ58">IF(AW58+BA58+BG58&gt;0, AW58+BA58+BG58-_xlfn.IFS(AND(A58&gt;=65,B58&gt;=65),VLOOKUP(Setup!I$4,Lookups!C$133:F$136,4),OR(A58&gt;=65,B58&gt;=65),VLOOKUP(Setup!I$4,Lookups!C$133:E$136,3),AND(A58&lt;65,B58&lt;65),VLOOKUP(Setup!I$4,Lookups!C$133:D$136,2)),0)</f>
        <v>0</v>
      </c>
      <c r="BK58" s="1" cm="1">
        <f t="array" ref="BK58">IF(BJ58&gt;0,_xlfn.IFS(Setup!I$4=Lookups!D$109,-_xlfn.IFS($BJ58&gt;=Lookups!D$157, Lookups!F$157+($BJ58-Lookups!D$157)*Lookups!G$157,$BJ58&gt;=Lookups!D$156, Lookups!F$156+($BJ58-Lookups!D$156)*Lookups!G$156,$BJ58&gt;=Lookups!D$155, Lookups!F$155+($BJ58-Lookups!D$155)*Lookups!G$155,$BJ58&gt;=Lookups!D$154, Lookups!F$154+($BJ58-Lookups!D$154)*Lookups!G$154,$BJ58&gt;=Lookups!D$153, Lookups!F$153+($BJ58-Lookups!D$153)*Lookups!G$153,$BJ58&gt;=Lookups!D$152, Lookups!F$152+($BJ58-Lookups!D$152)*Lookups!G$152,$BJ58&lt;Lookups!D$152,$BJ58*Lookups!G$151),Setup!I$4=Lookups!D$110,-_xlfn.IFS($BJ58&gt;=Lookups!D$167, Lookups!F$167+($BJ58-Lookups!D$167)*Lookups!G$167,$BJ58&gt;=Lookups!D$166, Lookups!F$166+($BJ58-Lookups!D$166)*Lookups!G$166,$BJ58&gt;=Lookups!D$165, Lookups!F$165+($BJ58-Lookups!D$165)*Lookups!G$165,$BJ58&gt;=Lookups!D$164, Lookups!F$164+($BJ58-Lookups!D$164)*Lookups!G$164,$BJ58&gt;=Lookups!D$163, Lookups!F$163+($BJ58-Lookups!D$163)*Lookups!G$163,$BJ58&gt;=Lookups!D$162, Lookups!F$162+($BJ58-Lookups!D$162)*Lookups!G$162,$BJ58&lt;Lookups!D$162,$BJ58*Lookups!G$161),Setup!I$4=Lookups!D$111,-_xlfn.IFS($BJ58&gt;=Lookups!D$177, Lookups!F$177+($BJ58-Lookups!D$177)*Lookups!G$177,$BJ58&gt;=Lookups!D$176, Lookups!F$176+($BJ58-Lookups!D$176)*Lookups!G$176,$BJ58&gt;=Lookups!D$175, Lookups!F$175+($BJ58-Lookups!D$175)*Lookups!G$175,$BJ58&gt;=Lookups!D$174, Lookups!F$174+($BJ58-Lookups!D$174)*Lookups!G$174,$BJ58&gt;=Lookups!D$173, Lookups!F$173+($BJ58-Lookups!D$173)*Lookups!G$173,$BJ58&gt;=Lookups!D$172, Lookups!F$172+($BJ58-Lookups!D$172)*Lookups!G$172,$BJ58&lt;Lookups!D$172,$BJ58*Lookups!G$171), Setup!I$4=Lookups!D$112,-_xlfn.IFS($BJ58&gt;=Lookups!D$187, Lookups!F$187+($BJ58-Lookups!D$187)*Lookups!G$187,$BJ58&gt;=Lookups!D$186, Lookups!F$186+($BJ58-Lookups!D$186)*Lookups!G$186,$BJ58&gt;=Lookups!D$185, Lookups!F$185+($BJ58-Lookups!D$185)*Lookups!G$185,$BJ58&gt;=Lookups!D$184, Lookups!F$184+($BJ58-Lookups!D$184)*Lookups!G$184,$BJ58&gt;=Lookups!D$183, Lookups!F$183+($BJ58-Lookups!D$183)*Lookups!G$183,$BJ58&gt;=Lookups!D$182, Lookups!F$182+($BJ58-Lookups!D$182)*Lookups!G$182,$BJ58&lt;Lookups!D$182,$BJ58*Lookups!G$181)),0)</f>
        <v>0</v>
      </c>
      <c r="BL58" s="18">
        <f t="shared" si="54"/>
        <v>0</v>
      </c>
      <c r="BM58" s="134">
        <f t="shared" si="55"/>
        <v>0</v>
      </c>
      <c r="BN58" s="134" cm="1">
        <f t="array" aca="1" ref="BN58" ca="1">INDIRECT(Setup!I$6&amp;"!"&amp;"A"&amp;ROW())</f>
        <v>0</v>
      </c>
      <c r="BO58" s="134">
        <f t="shared" si="56"/>
        <v>0</v>
      </c>
      <c r="BP58" s="1">
        <f t="shared" si="57"/>
        <v>0</v>
      </c>
      <c r="BQ58" s="1">
        <f t="shared" si="58"/>
        <v>0</v>
      </c>
      <c r="BS58" s="1">
        <f t="shared" si="50"/>
        <v>0</v>
      </c>
      <c r="BT58" s="1" cm="1">
        <f t="array" ref="BT58">-IF(BS58&gt;0,_xlfn.IFS((AW58+BA58+BG58+BS58)&gt;=VLOOKUP(Setup!I$4,Lookups!C$210:E$213,3),BS58*Lookups!D$203,(AW58+BA58+BG58+BS58)&gt;=VLOOKUP(Setup!I$4,Lookups!C$210:E$213,2),BS58*Lookups!D$197,(AW58+BA58+BG58+BS58)&lt;VLOOKUP(Setup!I$4,Lookups!C$210:E$213,2),0),0)</f>
        <v>0</v>
      </c>
      <c r="BU58" s="18">
        <f t="shared" si="51"/>
        <v>0</v>
      </c>
      <c r="BV58" s="1">
        <f t="shared" si="52"/>
        <v>0</v>
      </c>
      <c r="BW58" s="1" cm="1">
        <f t="array" aca="1" ref="BW58" ca="1">INDIRECT(Setup!I$6&amp;"!"&amp;"A"&amp;ROW()+100)</f>
        <v>0</v>
      </c>
      <c r="BX58" s="1">
        <f t="shared" ca="1" si="44"/>
        <v>0</v>
      </c>
      <c r="BY58" s="1">
        <f t="shared" ca="1" si="45"/>
        <v>0</v>
      </c>
      <c r="CA58" s="1">
        <f t="shared" si="59"/>
        <v>0</v>
      </c>
      <c r="CC58" s="1" cm="1">
        <f t="array" ref="CC58">_xlfn.IFS(AND(A58&lt;$DA$4,B58&lt;$DB$4),0,AND(AND(A58&gt;=$DA$4,B58&gt;=$DB$4),AND(A58&lt;=$DA$6,B58&lt;=$DB$6),AND(BH58=0,BI58=0)),SUM(AW58,AY58:AZ58,BD58:BF58,BP58,BS58,CA58)-AQ58,AND(AND(A58&gt;=$DA$4,B58&gt;=$DB$4),AND(A58&lt;=$DA$6,B58&lt;=$DB$6)),SUM(AW58,AY58:AZ58,BD58:BF58,BS58,CA58)-AQ58,AND(OR(A58&gt;=$DA$4,B58&gt;=$DB$4),AND(BH58=0,BI58=0)),SUM(AW58,AY58:AZ58,BD58:BF58,BP58,BS58,CA58)-AP58,OR(A58&gt;=$DA$4,B58&gt;=$DB$4),SUM(AW58,AY58:AZ58,BD58:BF58,BS58,CA58)-AP58)</f>
        <v>0</v>
      </c>
      <c r="CD58" s="142" t="str">
        <f t="shared" si="30"/>
        <v/>
      </c>
    </row>
    <row r="59" spans="1:82" x14ac:dyDescent="0.3">
      <c r="A59" s="354">
        <f t="shared" si="62"/>
        <v>52</v>
      </c>
      <c r="B59" s="354">
        <f t="shared" si="63"/>
        <v>52</v>
      </c>
      <c r="C59" s="359">
        <f t="shared" si="33"/>
        <v>18994</v>
      </c>
      <c r="D59" s="326" cm="1">
        <f t="array" ref="D59">_xlfn.IFS(AND(A59&gt;DA$6,B59&gt;DB$6),0,AND(A59&gt;DA$3,A59&lt;=DA$4),D58*(1+DH$1),OR(A59&gt;DA$6,A59&gt;DA$4),(D58-BH58)*(1+DH$2),A59&lt;=DA$4,(D58*(1+DH$1))+(D$4))</f>
        <v>0</v>
      </c>
      <c r="E59" s="375"/>
      <c r="F59" s="326" cm="1">
        <f t="array" ref="F59">_xlfn.IFS(AND(A59&gt;DA$6,B59&gt;DB$6),0,AND(B59&gt;DB$3,B59&lt;=DB$4),F58*(1+DH$1),OR(B59&gt;DB$6,B59&gt;DB$4),(F58-BI58)*(1+DH$2),B59&lt;=DB$4,(F58*(1+DH$1))+(F$4))</f>
        <v>0</v>
      </c>
      <c r="G59" s="375"/>
      <c r="H59" s="1">
        <f t="shared" si="60"/>
        <v>0</v>
      </c>
      <c r="I59" s="2">
        <f t="shared" si="36"/>
        <v>0</v>
      </c>
      <c r="J59" s="14">
        <f t="shared" si="64"/>
        <v>0</v>
      </c>
      <c r="L59" s="402" cm="1">
        <f t="array" ref="L59">_xlfn.IFS(AND(A59&gt;DA$6,B59&gt;DB$6),0,A59&lt;DA$6,0,A59=DA$6,L$4,AND(A59&gt;DA$6,B59&lt;=DB$4),L58*(1+DH$1),AND(A59&gt;DA$6,B59&gt;DB$4),IF(Y58=0,0,(L58-((L58/Y58)*BY58))*(1+DH$2)))</f>
        <v>0</v>
      </c>
      <c r="M59" s="402" cm="1">
        <f t="array" ref="M59">_xlfn.IFS(AND(A59&gt;DA$6,B59&gt;DB$6),0,B59&lt;DB$6,0,B59=DB$6,M$4,AND(B59&gt;DB$6,A59&lt;=DA$4),M58*(1+DH$1),AND(A59&gt;DA$4,B59&gt;DB$6),IF(Y58=0,0,(M58-((M58/Y58)*BY58))*(1+DH$2)))</f>
        <v>0</v>
      </c>
      <c r="N59" s="327"/>
      <c r="O59" s="327" cm="1">
        <f t="array" ref="O59">_xlfn.IFS(OR(ISBLANK(Setup!C$63),Setup!C$63&gt;YEAR(C59),AND(A59&gt;DA$6,B59&gt;DB$6),ISBLANK(Y58)),0,Setup!C$63=YEAR(C59),Setup!C$62,AND(OR(A59&lt;=DA$4,B59&lt;=DB$4),Setup!C$63&lt;YEAR(C59)),O58*(1+DH$1),AND(A59&gt;DA$4,B59&gt;DB$4,Setup!C$63&lt;YEAR(C59)),IF(Y58=0,0,(O58-((O58/Y58)*BY58))*(1+DH$2)))</f>
        <v>0</v>
      </c>
      <c r="P59" s="327" cm="1">
        <f t="array" ref="P59">_xlfn.IFS(OR(ISBLANK(Setup!C$67),Setup!C$67&gt;YEAR(C59),AND(A59&gt;DA$6,B59&gt;DB$6)),0,Setup!C$67=YEAR(C59),Setup!C$66,AND(OR(A59&lt;=DA$4,B59&lt;=DB$4),Setup!C$67&lt;YEAR(C59)),P58*(1+DH$1),AND(A59&gt;DA$4,B59&gt;DB$4,Setup!C$67&lt;YEAR(C59)),IF(Y58=0,0,(P58-((P58/Y58)*BY58))*(1+DH$2)))</f>
        <v>0</v>
      </c>
      <c r="Q59" s="327" cm="1">
        <f t="array" ref="Q59">_xlfn.IFS(OR(ISBLANK(Setup!C$71),Setup!C$71&gt;YEAR(C59),AND(A59&gt;DA$6,B59&gt;DB$6)),0,Setup!C$71=YEAR(C59),Setup!C$70,AND(OR(A59&lt;=DA$4,B59&lt;=DB$4),Setup!C$71&lt;YEAR(C59)),Q58*(1+DH$1),AND(A59&gt;DA$4,B59&gt;DB$4,Setup!C$71&lt;YEAR(C59)),IF(Y58=0,0,(Q58-((Q58/Y58)*BY58))*(1+DH$2)))</f>
        <v>0</v>
      </c>
      <c r="R59" s="327" cm="1">
        <f t="array" ref="R59">_xlfn.IFS(OR(ISBLANK(Setup!C$75),Setup!C$75&gt;YEAR(C59),AND(A59&gt;DA$6,B59&gt;DB$6)),0,Setup!C$75=YEAR(C59),Setup!C$74,AND(OR(A59&lt;=DA$4,B59&lt;=DB$4),Setup!C$75&lt;YEAR(C59)),R58*(1+DH$1),AND(A59&gt;DA$4,B59&gt;DB$4,Setup!C$75&lt;YEAR(C59)),IF(Y58=0,0,(R58-((R58/Y58)*BY58))*(1+DH$2)))</f>
        <v>0</v>
      </c>
      <c r="S59" s="327"/>
      <c r="T59" s="326" cm="1">
        <f t="array" ref="T59">_xlfn.IFS(AND($A59&gt;$DA$6,$B59&gt;$DB$6),0,AND($W$2=$DA$2,$A59&gt;$DA$4),IF($Y58=0,0,(T58-((T58/$Y58)*$BY58))*(1+$DH$2)),AND($W$2=$DB$2,$B59&gt;$DB$4),IF($Y58=0,0,(T58-((T58/$Y58)*$BY58))*(1+$DH$2)),AND($W$2=$DA$2,OR($A59&gt;$DA$3,$A59&gt;$DA$6)),(T58*(1+$DH$1)),AND($W$2=$DB$2,OR($B59&gt;$DB$3,$B59&gt;$DB$6)),(T58*(1+$DH$1)),AND($W$2=$DA$2,$A59&lt;=$DA$3,$A59&lt;=$DA$4,$A59&lt;=$DA$5),(T58*(1+$DH$1))+(T$4),AND($W$2=$DB$2,$B59&lt;=$DB$3,$B59&lt;=$DB$4,$B59&lt;=$DB$5),(T58*(1+$DH$1))+(T$4))</f>
        <v>0</v>
      </c>
      <c r="U59" s="326" cm="1">
        <f t="array" ref="U59">_xlfn.IFS(AND($A59&gt;$DA$6,$B59&gt;$DB$6),0,AND($W$2=$DA$2,$A59&gt;$DA$4),IF($Y58=0,0,(U58-((U58/$Y58)*$BY58))*(1+$DH$2)),AND($W$2=$DB$2,$B59&gt;$DB$4),IF($Y58=0,0,(U58-((U58/$Y58)*$BY58))*(1+$DH$2)),AND($W$2=$DA$2,OR($A59&gt;$DA$3,$A59&gt;$DA$6)),(U58*(1+$DH$1)),AND($W$2=$DB$2,OR($B59&gt;$DB$3,$B59&gt;$DB$6)),(U58*(1+$DH$1)),AND($W$2=$DA$2,$A59&lt;=$DA$3,$A59&lt;=$DA$4,$A59&lt;=$DA$5),(U58*(1+$DH$1))+(U$4),AND($W$2=$DB$2,$B59&lt;=$DB$3,$B59&lt;=$DB$4,$B59&lt;=$DB$5),(U58*(1+$DH$1))+(U$4))</f>
        <v>0</v>
      </c>
      <c r="V59" s="326" cm="1">
        <f t="array" ref="V59">_xlfn.IFS(AND($A59&gt;$DA$6,$B59&gt;$DB$6),0,AND($W$2=$DA$2,$A59&gt;$DA$4),IF($Y58=0,0,(V58-((V58/$Y58)*$BY58))*(1+$DH$2)),AND($W$2=$DB$2,$B59&gt;$DB$4),IF($Y58=0,0,(V58-((V58/$Y58)*$BY58))*(1+$DH$2)),AND($W$2=$DA$2,OR($A59&gt;$DA$3,$A59&gt;$DA$6)),(V58*(1+$DH$1)),AND($W$2=$DB$2,OR($B59&gt;$DB$3,$B59&gt;$DB$6)),(V58*(1+$DH$1)),AND($W$2=$DA$2,$A59&lt;=$DA$3,$A59&lt;=$DA$4,$A59&lt;=$DA$5),(V58*(1+$DH$1))+(V$4),AND($W$2=$DB$2,$B59&lt;=$DB$3,$B59&lt;=$DB$4,$B59&lt;=$DB$5),(V58*(1+$DH$1))+(V$4))</f>
        <v>0</v>
      </c>
      <c r="W59" s="326" cm="1">
        <f t="array" ref="W59">_xlfn.IFS(AND($A59&gt;$DA$6,$B59&gt;$DB$6),0,AND($W$2=$DA$2,$A59&gt;$DA$4),IF($Y58=0,0,(W58-((W58/$Y58)*$BY58))*(1+$DH$2)),AND($W$2=$DB$2,$B59&gt;$DB$4),IF($Y58=0,0,(W58-((W58/$Y58)*$BY58))*(1+$DH$2)),AND($W$2=$DA$2,OR($A59&gt;$DA$3,$A59&gt;$DA$6)),(W58*(1+$DH$1)),AND($W$2=$DB$2,OR($B59&gt;$DB$3,$B59&gt;$DB$6)),(W58*(1+$DH$1)),AND($W$2=$DA$2,$A59&lt;=$DA$3,$A59&lt;=$DA$4,$A59&lt;=$DA$5),(W58*(1+$DH$1))+(W$4),AND($W$2=$DB$2,$B59&lt;=$DB$3,$B59&lt;=$DB$4,$B59&lt;=$DB$5),(W58*(1+$DH$1))+(W$4))</f>
        <v>0</v>
      </c>
      <c r="Y59" s="1">
        <f t="shared" si="47"/>
        <v>0</v>
      </c>
      <c r="Z59" s="2">
        <f t="shared" si="37"/>
        <v>0</v>
      </c>
      <c r="AA59" s="375"/>
      <c r="AC59" s="326" cm="1">
        <f t="array" ref="AC59">_xlfn.IFS(AND(A59&gt;DA$6,B59&gt;DB$6),0,AND(A59&gt;DA$4,B59&gt;DB$4),IF(AG58=0,0,(AC58-((AC58/AG58)*CA58))*(1+DH$2)),OR(A59&gt;DA$3,A59&gt;DA$6),AC58*(1+DH$1),A59&gt;DA$4,(AC58-CA58)*(1+DH$2),AND(A59&lt;=DA$3,A59&lt;=DA$4,A59&lt;=DA$6),(AC58*(1+DH$1))+(AC$4))</f>
        <v>0</v>
      </c>
      <c r="AD59" s="375"/>
      <c r="AE59" s="326" cm="1">
        <f t="array" ref="AE59">_xlfn.IFS(AND(A59&gt;DA$6,B59&gt;DB$6),0,AND(A59&gt;DA$4,B59&gt;DB$4),IF(AG58=0,0,(AE58-((AE58/AG58)*CA58))*(1+DH$2)),OR(B59&gt;DB$3,B59&gt;DB$6),AE58*(1+DH$1),B59&gt;DB$4,(AE58-CA58)*(1+DH$2),AND(B59&lt;=DB$3,B59&lt;=DB$4,B59&lt;=DB$6),(AE58*(1+DH$1))+(AE$4))</f>
        <v>0</v>
      </c>
      <c r="AF59" s="375"/>
      <c r="AG59" s="1">
        <f t="shared" si="61"/>
        <v>0</v>
      </c>
      <c r="AH59" s="2">
        <f t="shared" si="48"/>
        <v>0</v>
      </c>
      <c r="AI59" s="14">
        <f t="shared" si="38"/>
        <v>0</v>
      </c>
      <c r="AK59" s="1">
        <f t="shared" si="49"/>
        <v>0</v>
      </c>
      <c r="AL59" s="14">
        <f t="shared" si="39"/>
        <v>0</v>
      </c>
      <c r="AM59" s="14" t="str">
        <f t="shared" si="23"/>
        <v/>
      </c>
      <c r="AO59" s="15">
        <f t="shared" si="40"/>
        <v>0</v>
      </c>
      <c r="AP59" s="1">
        <f>IF(AND(B59&gt;=$DB$6,A59&gt;=$DA$6),0,AP58*(1+Lookups!C$12))</f>
        <v>0</v>
      </c>
      <c r="AQ59" s="1">
        <f>IF(AND(B59&gt;=$DB$6,A59&gt;=$DA$6),0,AQ58*(1+Lookups!C$12))</f>
        <v>0</v>
      </c>
      <c r="AS59" s="1" cm="1">
        <f t="array" ref="AS59">_xlfn.IFS(OR(AS$6="",AND(A59&gt;=DA$6,B59&gt;=DB$6),AND(A59&lt;DA$4,B59&lt;DB$4)),0,AND(A59=DA$4,DA$4&lt;=DB$4),AS$6,AND(B59=DB$4,DA$4&gt;=DB$4),AS$6,OR(A59&gt;DA$4,B59&gt;DB$4),AS58*(1+Setup!C$103))</f>
        <v>0</v>
      </c>
      <c r="AT59" s="1" cm="1">
        <f t="array" ref="AT59">_xlfn.IFS(OR(AT$6="",AND(A59&gt;=DA$6,B59&gt;=DB$6),AND(A59&lt;DA$4,B59&lt;DB$4)),0,AND(A59=DA$4,DA$4&lt;=DB$4),AT$6,AND(B59=DB$4,DA$4&gt;=DB$4),AT$6,OR(A59&gt;DA$4,B59&gt;DB$4),AT58*(1+Setup!C$103))</f>
        <v>0</v>
      </c>
      <c r="AU59" s="1" cm="1">
        <f t="array" ref="AU59">_xlfn.IFS(OR(AU$6="",AND(A59&gt;=DA$6,B59&gt;=DB$6),AND(A59&lt;DA$4,B59&lt;DB$4)),0,AND(A59=DA$4,DA$4&lt;=DB$4),AU$6,AND(B59=DB$4,DA$4&gt;=DB$4),AU$6,OR(A59&gt;DA$4,B59&gt;DB$4),AU58*(1+Setup!C$103))</f>
        <v>0</v>
      </c>
      <c r="AV59" s="1" cm="1">
        <f t="array" ref="AV59">_xlfn.IFS(OR(AV$6="",AND(A59&gt;=DA$6,B59&gt;=DB$6),AND(A59&lt;DA$4,B59&lt;DB$4)),0,AND(A59=DA$4,DA$4&lt;=DB$4),AV$6,AND(B59=DB$4,DA$4&gt;=DB$4),AV$6,OR(A59&gt;DA$4,B59&gt;DB$4),AV58*(1+Setup!C$103))</f>
        <v>0</v>
      </c>
      <c r="AW59" s="1">
        <f t="shared" si="41"/>
        <v>0</v>
      </c>
      <c r="AY59" s="1" cm="1">
        <f t="array" ref="AY59">_xlfn.IFS(OR(AND(A59&gt;=DA$6,B59&gt;=DB$6),A59&lt;DA$5),0,AND(A59=DA$5,YEAR(C59)&gt;=Lookups!D$89),VLOOKUP(A59,Lookups!B$94:F$102,3),AND(A59=DA$5,YEAR(C59)&lt;Lookups!D$89),VLOOKUP(A59,Lookups!B$94:F$102,2),AND(A59&gt;DA$5,YEAR(C59)=Lookups!D$89),(AY58*Lookups!D$90)*(1+Lookups!C$20),AND(A59&gt;DA$5,YEAR(C59)&lt;&gt;Lookups!D$89),AY58*(1+Lookups!C$20))</f>
        <v>0</v>
      </c>
      <c r="AZ59" s="1" cm="1">
        <f t="array" ref="AZ59">_xlfn.IFS(OR(ISBLANK(Setup!K$91),Setup!K$91=0,AND(A59&gt;=DA$6,B59&gt;=DB$6),B59&lt;DB$5),0,AND(B59=DB$5,YEAR(C59)&gt;=Lookups!D$89),VLOOKUP(B59,Lookups!B$94:F$102,5),AND(B59=DB$5,YEAR(C59)&lt;Lookups!D$89),VLOOKUP(B59,Lookups!B$94:F$102,4),AND(B59&gt;DB$5,YEAR(C59)=Lookups!D$89),(AZ58*Lookups!D$90)*(1+Lookups!C$20),AND(B59&gt;DB$5,YEAR(C59)&lt;&gt;Lookups!D$89),AZ58*(1+Lookups!C$20))</f>
        <v>0</v>
      </c>
      <c r="BA59" s="65">
        <f>IF(OR(AY59&gt;0,AZ59&gt;0),(AY59+AZ59)*Lookups!D$120,0)</f>
        <v>0</v>
      </c>
      <c r="BB59" s="1" cm="1">
        <f t="array" ref="BB59">_xlfn.IFS(AND(A59&lt;DA$4,B59&lt;DB$4),0,OR(_xlfn.XOR(A59&gt;DA$6,B59&gt;DB$6),_xlfn.XOR(A59&gt;=DA$4,B59&gt;=DB$4)),IF(AP59-SUM(AW59,AY59:AZ59)&gt;0,AP59-SUM(AW59,AY59:AZ59),0),AQ59-SUM(AW59,AY59:AZ59)&gt;0, AQ59-SUM(AW59,AY59:AZ59),AQ59-SUM(AW59,AY59:AZ59)&lt;=0,0)</f>
        <v>0</v>
      </c>
      <c r="BD59" s="1" cm="1">
        <f t="array" ref="BD59">_xlfn.IFS(AND(A59&gt;=DA$6,B59&gt;=DB$6),0,AND(A59&gt;=DA$6,B59&gt;=Lookups!C$35),D59/VLOOKUP(B59,Lookups!C$37:D$67,2),A59&lt;Lookups!$C$35,0,A59&gt;=Lookups!C$35,D59/VLOOKUP(A59,Lookups!C$37:D$67,2))</f>
        <v>0</v>
      </c>
      <c r="BE59" s="1" cm="1">
        <f t="array" ref="BE59">_xlfn.IFS(AND(A59&gt;=DA$6,B59&gt;=DB$6),0,AND(B59&gt;=DB$6,A59&gt;=Lookups!C$35),F59/VLOOKUP(A59,Lookups!C$37:D$67,2),B59&lt;Lookups!$C$35,0,B59&gt;=Lookups!C$35,F59/VLOOKUP(B59,Lookups!C$37:D$67,2))</f>
        <v>0</v>
      </c>
      <c r="BF59" s="1" cm="1">
        <f t="array" ref="BF59">_xlfn.IFS($BB59&lt;=0,0,AND(A59&gt;=DA$4,B59&gt;=DB$4,$BB59*I59&lt;(BD59+BE59)),0,AND(A59&gt;=DA$4,B59&gt;=DB$4,H59&gt;=(BB59*I59)-BD59-BE59),(BB59*I59)-BD59-BE59,AND(A59&gt;=DA$4,B59&gt;=DB$4,H59&lt;(BB59*I59)-BD59-BE59),H59,AND(A59&gt;=DA$4,$BB59*I59&lt;(BD59)),0,AND(A59&gt;=DA$4,H59&gt;=(BB59*I59)-BD59),(BB59*I59)-BD59,AND(A59&gt;=DA$4,H59&lt;(BB59*I59)-BD59),H59,AND(B59&gt;=DB$4,$BB59*I59&lt;(BE59)),0,AND(B59&gt;=DB$4,H59&gt;=(BB59*I59)-BE59),(BB59*I59)-BE59,AND(B59&gt;=DB$4,H59&lt;(BB59*I59)-BE59),H59)</f>
        <v>0</v>
      </c>
      <c r="BG59" s="1">
        <f t="shared" si="53"/>
        <v>0</v>
      </c>
      <c r="BH59" s="1" cm="1">
        <f t="array" ref="BH59">_xlfn.IFS(OR(D59=0,A59&lt;DA$4),0,AND(A59&gt;=DA$4,B59&gt;=DB$4,D59&lt;BD59+($BF59*(D59/$H59))+(-$BP59*(D59/$H59))),D59,AND(A59&gt;=DA$4,B59&gt;=DB$4,$BB59&gt;$BG59),BD59+($BF59*(D59/$H59))+(-$BP59*(D59/$H59)),AND(A59&gt;=DA$4,B59&gt;=DB$4,OR(A59&gt;DA$6, B59&gt;DB$6),$AP59-SUM($AW59,$AY59:$AZ59)&lt;0),BD59+($BF59*(D59/$H59))+(-$BP59*(D59/$H59))+(BP59*(D59/$H59)),AND(A59&gt;=DA$4,B59&gt;=DB$4,$AQ59-SUM($AW59,$AY59:$AZ59)&lt;0),BD59+($BF59*(D59/$H59))+(-$BP59*(D59/$H59))+(BP59*(D59/$H59)),AND(A59&gt;=DA$4,D59&lt;BD59+$BF59-$BP59),D59,AND(A59&gt;=DA$4,$AP59-SUM($AW59,$AY59:$AZ59)&lt;0),BD59+($BF59*(D59/$H59))+(-$BP59*(D59/$H59))+(BP59*(D59/$H59)),A59&gt;=DA$4,BD59+$BF59-$BP59)</f>
        <v>0</v>
      </c>
      <c r="BI59" s="1" cm="1">
        <f t="array" ref="BI59">_xlfn.IFS(OR(F59=0,B59&lt;DB$4),0,AND(A59&gt;=DA$4,B59&gt;=DB$4,F59&lt;BE59+($BF59*(F59/$H59))+(-$BP59*(F59/$H59))),F59,AND(A59&gt;=DA$4,B59&gt;=DB$4,$BB59&gt;$BG59),BE59+($BF59*(F59/$H59))+(-$BP59*(F59/$H59)),AND(A59&gt;=DA$4,B59&gt;=DB$4,OR(A59&gt;DA$6, B59&gt;DB$6),$AP59-SUM($AW59,$AY59:$AZ59)&lt;0),BE59+($BF59*(F59/$H59))+(-$BP59*(F59/$H59))+(BP59*(F59/$H59)),AND(A59&gt;=DA$4,B59&gt;=DB$4,$AQ59-SUM($AW59,$AY59:$AZ59)&lt;0),BE59+($BF59*(F59/$H59))+(-$BP59*(F59/$H59))+(BP59*(F59/$H59)),AND(B59&gt;=DB$4,F59&lt;BE59+$BF59-$BP59),F59,AND(B59&gt;=DB$4,$AP59-SUM($AW59,$AY59:$AZ59)&lt;0),BE59+($BF59*(F59/$H59))+(-$BP59*(F59/$H59))+(BP59*(F59/$H59)),B59&gt;=DB$4,BE59+$BF59-$BP59)</f>
        <v>0</v>
      </c>
      <c r="BJ59" s="64" cm="1">
        <f t="array" ref="BJ59">IF(AW59+BA59+BG59&gt;0, AW59+BA59+BG59-_xlfn.IFS(AND(A59&gt;=65,B59&gt;=65),VLOOKUP(Setup!I$4,Lookups!C$133:F$136,4),OR(A59&gt;=65,B59&gt;=65),VLOOKUP(Setup!I$4,Lookups!C$133:E$136,3),AND(A59&lt;65,B59&lt;65),VLOOKUP(Setup!I$4,Lookups!C$133:D$136,2)),0)</f>
        <v>0</v>
      </c>
      <c r="BK59" s="1" cm="1">
        <f t="array" ref="BK59">IF(BJ59&gt;0,_xlfn.IFS(Setup!I$4=Lookups!D$109,-_xlfn.IFS($BJ59&gt;=Lookups!D$157, Lookups!F$157+($BJ59-Lookups!D$157)*Lookups!G$157,$BJ59&gt;=Lookups!D$156, Lookups!F$156+($BJ59-Lookups!D$156)*Lookups!G$156,$BJ59&gt;=Lookups!D$155, Lookups!F$155+($BJ59-Lookups!D$155)*Lookups!G$155,$BJ59&gt;=Lookups!D$154, Lookups!F$154+($BJ59-Lookups!D$154)*Lookups!G$154,$BJ59&gt;=Lookups!D$153, Lookups!F$153+($BJ59-Lookups!D$153)*Lookups!G$153,$BJ59&gt;=Lookups!D$152, Lookups!F$152+($BJ59-Lookups!D$152)*Lookups!G$152,$BJ59&lt;Lookups!D$152,$BJ59*Lookups!G$151),Setup!I$4=Lookups!D$110,-_xlfn.IFS($BJ59&gt;=Lookups!D$167, Lookups!F$167+($BJ59-Lookups!D$167)*Lookups!G$167,$BJ59&gt;=Lookups!D$166, Lookups!F$166+($BJ59-Lookups!D$166)*Lookups!G$166,$BJ59&gt;=Lookups!D$165, Lookups!F$165+($BJ59-Lookups!D$165)*Lookups!G$165,$BJ59&gt;=Lookups!D$164, Lookups!F$164+($BJ59-Lookups!D$164)*Lookups!G$164,$BJ59&gt;=Lookups!D$163, Lookups!F$163+($BJ59-Lookups!D$163)*Lookups!G$163,$BJ59&gt;=Lookups!D$162, Lookups!F$162+($BJ59-Lookups!D$162)*Lookups!G$162,$BJ59&lt;Lookups!D$162,$BJ59*Lookups!G$161),Setup!I$4=Lookups!D$111,-_xlfn.IFS($BJ59&gt;=Lookups!D$177, Lookups!F$177+($BJ59-Lookups!D$177)*Lookups!G$177,$BJ59&gt;=Lookups!D$176, Lookups!F$176+($BJ59-Lookups!D$176)*Lookups!G$176,$BJ59&gt;=Lookups!D$175, Lookups!F$175+($BJ59-Lookups!D$175)*Lookups!G$175,$BJ59&gt;=Lookups!D$174, Lookups!F$174+($BJ59-Lookups!D$174)*Lookups!G$174,$BJ59&gt;=Lookups!D$173, Lookups!F$173+($BJ59-Lookups!D$173)*Lookups!G$173,$BJ59&gt;=Lookups!D$172, Lookups!F$172+($BJ59-Lookups!D$172)*Lookups!G$172,$BJ59&lt;Lookups!D$172,$BJ59*Lookups!G$171), Setup!I$4=Lookups!D$112,-_xlfn.IFS($BJ59&gt;=Lookups!D$187, Lookups!F$187+($BJ59-Lookups!D$187)*Lookups!G$187,$BJ59&gt;=Lookups!D$186, Lookups!F$186+($BJ59-Lookups!D$186)*Lookups!G$186,$BJ59&gt;=Lookups!D$185, Lookups!F$185+($BJ59-Lookups!D$185)*Lookups!G$185,$BJ59&gt;=Lookups!D$184, Lookups!F$184+($BJ59-Lookups!D$184)*Lookups!G$184,$BJ59&gt;=Lookups!D$183, Lookups!F$183+($BJ59-Lookups!D$183)*Lookups!G$183,$BJ59&gt;=Lookups!D$182, Lookups!F$182+($BJ59-Lookups!D$182)*Lookups!G$182,$BJ59&lt;Lookups!D$182,$BJ59*Lookups!G$181)),0)</f>
        <v>0</v>
      </c>
      <c r="BL59" s="18">
        <f t="shared" si="54"/>
        <v>0</v>
      </c>
      <c r="BM59" s="134">
        <f t="shared" si="55"/>
        <v>0</v>
      </c>
      <c r="BN59" s="134" cm="1">
        <f t="array" aca="1" ref="BN59" ca="1">INDIRECT(Setup!I$6&amp;"!"&amp;"A"&amp;ROW())</f>
        <v>0</v>
      </c>
      <c r="BO59" s="134">
        <f t="shared" si="56"/>
        <v>0</v>
      </c>
      <c r="BP59" s="1">
        <f t="shared" si="57"/>
        <v>0</v>
      </c>
      <c r="BQ59" s="1">
        <f t="shared" si="58"/>
        <v>0</v>
      </c>
      <c r="BS59" s="1">
        <f t="shared" si="50"/>
        <v>0</v>
      </c>
      <c r="BT59" s="1" cm="1">
        <f t="array" ref="BT59">-IF(BS59&gt;0,_xlfn.IFS((AW59+BA59+BG59+BS59)&gt;=VLOOKUP(Setup!I$4,Lookups!C$210:E$213,3),BS59*Lookups!D$203,(AW59+BA59+BG59+BS59)&gt;=VLOOKUP(Setup!I$4,Lookups!C$210:E$213,2),BS59*Lookups!D$197,(AW59+BA59+BG59+BS59)&lt;VLOOKUP(Setup!I$4,Lookups!C$210:E$213,2),0),0)</f>
        <v>0</v>
      </c>
      <c r="BU59" s="18">
        <f t="shared" si="51"/>
        <v>0</v>
      </c>
      <c r="BV59" s="1">
        <f t="shared" si="52"/>
        <v>0</v>
      </c>
      <c r="BW59" s="1" cm="1">
        <f t="array" aca="1" ref="BW59" ca="1">INDIRECT(Setup!I$6&amp;"!"&amp;"A"&amp;ROW()+100)</f>
        <v>0</v>
      </c>
      <c r="BX59" s="1">
        <f t="shared" ca="1" si="44"/>
        <v>0</v>
      </c>
      <c r="BY59" s="1">
        <f t="shared" ca="1" si="45"/>
        <v>0</v>
      </c>
      <c r="CA59" s="1">
        <f t="shared" si="59"/>
        <v>0</v>
      </c>
      <c r="CC59" s="1" cm="1">
        <f t="array" ref="CC59">_xlfn.IFS(AND(A59&lt;$DA$4,B59&lt;$DB$4),0,AND(AND(A59&gt;=$DA$4,B59&gt;=$DB$4),AND(A59&lt;=$DA$6,B59&lt;=$DB$6),AND(BH59=0,BI59=0)),SUM(AW59,AY59:AZ59,BD59:BF59,BP59,BS59,CA59)-AQ59,AND(AND(A59&gt;=$DA$4,B59&gt;=$DB$4),AND(A59&lt;=$DA$6,B59&lt;=$DB$6)),SUM(AW59,AY59:AZ59,BD59:BF59,BS59,CA59)-AQ59,AND(OR(A59&gt;=$DA$4,B59&gt;=$DB$4),AND(BH59=0,BI59=0)),SUM(AW59,AY59:AZ59,BD59:BF59,BP59,BS59,CA59)-AP59,OR(A59&gt;=$DA$4,B59&gt;=$DB$4),SUM(AW59,AY59:AZ59,BD59:BF59,BS59,CA59)-AP59)</f>
        <v>0</v>
      </c>
      <c r="CD59" s="142" t="str">
        <f t="shared" si="30"/>
        <v/>
      </c>
    </row>
    <row r="60" spans="1:82" x14ac:dyDescent="0.3">
      <c r="A60" s="354">
        <f t="shared" si="62"/>
        <v>53</v>
      </c>
      <c r="B60" s="354">
        <f t="shared" si="63"/>
        <v>53</v>
      </c>
      <c r="C60" s="359">
        <f t="shared" si="33"/>
        <v>19360</v>
      </c>
      <c r="D60" s="326" cm="1">
        <f t="array" ref="D60">_xlfn.IFS(AND(A60&gt;DA$6,B60&gt;DB$6),0,AND(A60&gt;DA$3,A60&lt;=DA$4),D59*(1+DH$1),OR(A60&gt;DA$6,A60&gt;DA$4),(D59-BH59)*(1+DH$2),A60&lt;=DA$4,(D59*(1+DH$1))+(D$4))</f>
        <v>0</v>
      </c>
      <c r="E60" s="375"/>
      <c r="F60" s="326" cm="1">
        <f t="array" ref="F60">_xlfn.IFS(AND(A60&gt;DA$6,B60&gt;DB$6),0,AND(B60&gt;DB$3,B60&lt;=DB$4),F59*(1+DH$1),OR(B60&gt;DB$6,B60&gt;DB$4),(F59-BI59)*(1+DH$2),B60&lt;=DB$4,(F59*(1+DH$1))+(F$4))</f>
        <v>0</v>
      </c>
      <c r="G60" s="375"/>
      <c r="H60" s="1">
        <f t="shared" si="60"/>
        <v>0</v>
      </c>
      <c r="I60" s="2">
        <f t="shared" si="36"/>
        <v>0</v>
      </c>
      <c r="J60" s="14">
        <f t="shared" si="64"/>
        <v>0</v>
      </c>
      <c r="L60" s="402" cm="1">
        <f t="array" ref="L60">_xlfn.IFS(AND(A60&gt;DA$6,B60&gt;DB$6),0,A60&lt;DA$6,0,A60=DA$6,L$4,AND(A60&gt;DA$6,B60&lt;=DB$4),L59*(1+DH$1),AND(A60&gt;DA$6,B60&gt;DB$4),IF(Y59=0,0,(L59-((L59/Y59)*BY59))*(1+DH$2)))</f>
        <v>0</v>
      </c>
      <c r="M60" s="402" cm="1">
        <f t="array" ref="M60">_xlfn.IFS(AND(A60&gt;DA$6,B60&gt;DB$6),0,B60&lt;DB$6,0,B60=DB$6,M$4,AND(B60&gt;DB$6,A60&lt;=DA$4),M59*(1+DH$1),AND(A60&gt;DA$4,B60&gt;DB$6),IF(Y59=0,0,(M59-((M59/Y59)*BY59))*(1+DH$2)))</f>
        <v>0</v>
      </c>
      <c r="N60" s="327"/>
      <c r="O60" s="327" cm="1">
        <f t="array" ref="O60">_xlfn.IFS(OR(ISBLANK(Setup!C$63),Setup!C$63&gt;YEAR(C60),AND(A60&gt;DA$6,B60&gt;DB$6),ISBLANK(Y59)),0,Setup!C$63=YEAR(C60),Setup!C$62,AND(OR(A60&lt;=DA$4,B60&lt;=DB$4),Setup!C$63&lt;YEAR(C60)),O59*(1+DH$1),AND(A60&gt;DA$4,B60&gt;DB$4,Setup!C$63&lt;YEAR(C60)),IF(Y59=0,0,(O59-((O59/Y59)*BY59))*(1+DH$2)))</f>
        <v>0</v>
      </c>
      <c r="P60" s="327" cm="1">
        <f t="array" ref="P60">_xlfn.IFS(OR(ISBLANK(Setup!C$67),Setup!C$67&gt;YEAR(C60),AND(A60&gt;DA$6,B60&gt;DB$6)),0,Setup!C$67=YEAR(C60),Setup!C$66,AND(OR(A60&lt;=DA$4,B60&lt;=DB$4),Setup!C$67&lt;YEAR(C60)),P59*(1+DH$1),AND(A60&gt;DA$4,B60&gt;DB$4,Setup!C$67&lt;YEAR(C60)),IF(Y59=0,0,(P59-((P59/Y59)*BY59))*(1+DH$2)))</f>
        <v>0</v>
      </c>
      <c r="Q60" s="327" cm="1">
        <f t="array" ref="Q60">_xlfn.IFS(OR(ISBLANK(Setup!C$71),Setup!C$71&gt;YEAR(C60),AND(A60&gt;DA$6,B60&gt;DB$6)),0,Setup!C$71=YEAR(C60),Setup!C$70,AND(OR(A60&lt;=DA$4,B60&lt;=DB$4),Setup!C$71&lt;YEAR(C60)),Q59*(1+DH$1),AND(A60&gt;DA$4,B60&gt;DB$4,Setup!C$71&lt;YEAR(C60)),IF(Y59=0,0,(Q59-((Q59/Y59)*BY59))*(1+DH$2)))</f>
        <v>0</v>
      </c>
      <c r="R60" s="327" cm="1">
        <f t="array" ref="R60">_xlfn.IFS(OR(ISBLANK(Setup!C$75),Setup!C$75&gt;YEAR(C60),AND(A60&gt;DA$6,B60&gt;DB$6)),0,Setup!C$75=YEAR(C60),Setup!C$74,AND(OR(A60&lt;=DA$4,B60&lt;=DB$4),Setup!C$75&lt;YEAR(C60)),R59*(1+DH$1),AND(A60&gt;DA$4,B60&gt;DB$4,Setup!C$75&lt;YEAR(C60)),IF(Y59=0,0,(R59-((R59/Y59)*BY59))*(1+DH$2)))</f>
        <v>0</v>
      </c>
      <c r="S60" s="327"/>
      <c r="T60" s="326" cm="1">
        <f t="array" ref="T60">_xlfn.IFS(AND($A60&gt;$DA$6,$B60&gt;$DB$6),0,AND($W$2=$DA$2,$A60&gt;$DA$4),IF($Y59=0,0,(T59-((T59/$Y59)*$BY59))*(1+$DH$2)),AND($W$2=$DB$2,$B60&gt;$DB$4),IF($Y59=0,0,(T59-((T59/$Y59)*$BY59))*(1+$DH$2)),AND($W$2=$DA$2,OR($A60&gt;$DA$3,$A60&gt;$DA$6)),(T59*(1+$DH$1)),AND($W$2=$DB$2,OR($B60&gt;$DB$3,$B60&gt;$DB$6)),(T59*(1+$DH$1)),AND($W$2=$DA$2,$A60&lt;=$DA$3,$A60&lt;=$DA$4,$A60&lt;=$DA$5),(T59*(1+$DH$1))+(T$4),AND($W$2=$DB$2,$B60&lt;=$DB$3,$B60&lt;=$DB$4,$B60&lt;=$DB$5),(T59*(1+$DH$1))+(T$4))</f>
        <v>0</v>
      </c>
      <c r="U60" s="326" cm="1">
        <f t="array" ref="U60">_xlfn.IFS(AND($A60&gt;$DA$6,$B60&gt;$DB$6),0,AND($W$2=$DA$2,$A60&gt;$DA$4),IF($Y59=0,0,(U59-((U59/$Y59)*$BY59))*(1+$DH$2)),AND($W$2=$DB$2,$B60&gt;$DB$4),IF($Y59=0,0,(U59-((U59/$Y59)*$BY59))*(1+$DH$2)),AND($W$2=$DA$2,OR($A60&gt;$DA$3,$A60&gt;$DA$6)),(U59*(1+$DH$1)),AND($W$2=$DB$2,OR($B60&gt;$DB$3,$B60&gt;$DB$6)),(U59*(1+$DH$1)),AND($W$2=$DA$2,$A60&lt;=$DA$3,$A60&lt;=$DA$4,$A60&lt;=$DA$5),(U59*(1+$DH$1))+(U$4),AND($W$2=$DB$2,$B60&lt;=$DB$3,$B60&lt;=$DB$4,$B60&lt;=$DB$5),(U59*(1+$DH$1))+(U$4))</f>
        <v>0</v>
      </c>
      <c r="V60" s="326" cm="1">
        <f t="array" ref="V60">_xlfn.IFS(AND($A60&gt;$DA$6,$B60&gt;$DB$6),0,AND($W$2=$DA$2,$A60&gt;$DA$4),IF($Y59=0,0,(V59-((V59/$Y59)*$BY59))*(1+$DH$2)),AND($W$2=$DB$2,$B60&gt;$DB$4),IF($Y59=0,0,(V59-((V59/$Y59)*$BY59))*(1+$DH$2)),AND($W$2=$DA$2,OR($A60&gt;$DA$3,$A60&gt;$DA$6)),(V59*(1+$DH$1)),AND($W$2=$DB$2,OR($B60&gt;$DB$3,$B60&gt;$DB$6)),(V59*(1+$DH$1)),AND($W$2=$DA$2,$A60&lt;=$DA$3,$A60&lt;=$DA$4,$A60&lt;=$DA$5),(V59*(1+$DH$1))+(V$4),AND($W$2=$DB$2,$B60&lt;=$DB$3,$B60&lt;=$DB$4,$B60&lt;=$DB$5),(V59*(1+$DH$1))+(V$4))</f>
        <v>0</v>
      </c>
      <c r="W60" s="326" cm="1">
        <f t="array" ref="W60">_xlfn.IFS(AND($A60&gt;$DA$6,$B60&gt;$DB$6),0,AND($W$2=$DA$2,$A60&gt;$DA$4),IF($Y59=0,0,(W59-((W59/$Y59)*$BY59))*(1+$DH$2)),AND($W$2=$DB$2,$B60&gt;$DB$4),IF($Y59=0,0,(W59-((W59/$Y59)*$BY59))*(1+$DH$2)),AND($W$2=$DA$2,OR($A60&gt;$DA$3,$A60&gt;$DA$6)),(W59*(1+$DH$1)),AND($W$2=$DB$2,OR($B60&gt;$DB$3,$B60&gt;$DB$6)),(W59*(1+$DH$1)),AND($W$2=$DA$2,$A60&lt;=$DA$3,$A60&lt;=$DA$4,$A60&lt;=$DA$5),(W59*(1+$DH$1))+(W$4),AND($W$2=$DB$2,$B60&lt;=$DB$3,$B60&lt;=$DB$4,$B60&lt;=$DB$5),(W59*(1+$DH$1))+(W$4))</f>
        <v>0</v>
      </c>
      <c r="Y60" s="1">
        <f t="shared" si="47"/>
        <v>0</v>
      </c>
      <c r="Z60" s="2">
        <f t="shared" si="37"/>
        <v>0</v>
      </c>
      <c r="AA60" s="375"/>
      <c r="AC60" s="326" cm="1">
        <f t="array" ref="AC60">_xlfn.IFS(AND(A60&gt;DA$6,B60&gt;DB$6),0,AND(A60&gt;DA$4,B60&gt;DB$4),IF(AG59=0,0,(AC59-((AC59/AG59)*CA59))*(1+DH$2)),OR(A60&gt;DA$3,A60&gt;DA$6),AC59*(1+DH$1),A60&gt;DA$4,(AC59-CA59)*(1+DH$2),AND(A60&lt;=DA$3,A60&lt;=DA$4,A60&lt;=DA$6),(AC59*(1+DH$1))+(AC$4))</f>
        <v>0</v>
      </c>
      <c r="AD60" s="375"/>
      <c r="AE60" s="326" cm="1">
        <f t="array" ref="AE60">_xlfn.IFS(AND(A60&gt;DA$6,B60&gt;DB$6),0,AND(A60&gt;DA$4,B60&gt;DB$4),IF(AG59=0,0,(AE59-((AE59/AG59)*CA59))*(1+DH$2)),OR(B60&gt;DB$3,B60&gt;DB$6),AE59*(1+DH$1),B60&gt;DB$4,(AE59-CA59)*(1+DH$2),AND(B60&lt;=DB$3,B60&lt;=DB$4,B60&lt;=DB$6),(AE59*(1+DH$1))+(AE$4))</f>
        <v>0</v>
      </c>
      <c r="AF60" s="375"/>
      <c r="AG60" s="1">
        <f t="shared" si="61"/>
        <v>0</v>
      </c>
      <c r="AH60" s="2">
        <f t="shared" si="48"/>
        <v>0</v>
      </c>
      <c r="AI60" s="14">
        <f t="shared" si="38"/>
        <v>0</v>
      </c>
      <c r="AK60" s="1">
        <f t="shared" si="49"/>
        <v>0</v>
      </c>
      <c r="AL60" s="14">
        <f t="shared" si="39"/>
        <v>0</v>
      </c>
      <c r="AM60" s="14" t="str">
        <f t="shared" si="23"/>
        <v/>
      </c>
      <c r="AO60" s="15">
        <f t="shared" si="40"/>
        <v>0</v>
      </c>
      <c r="AP60" s="1">
        <f>IF(AND(B60&gt;=$DB$6,A60&gt;=$DA$6),0,AP59*(1+Lookups!C$12))</f>
        <v>0</v>
      </c>
      <c r="AQ60" s="1">
        <f>IF(AND(B60&gt;=$DB$6,A60&gt;=$DA$6),0,AQ59*(1+Lookups!C$12))</f>
        <v>0</v>
      </c>
      <c r="AS60" s="1" cm="1">
        <f t="array" ref="AS60">_xlfn.IFS(OR(AS$6="",AND(A60&gt;=DA$6,B60&gt;=DB$6),AND(A60&lt;DA$4,B60&lt;DB$4)),0,AND(A60=DA$4,DA$4&lt;=DB$4),AS$6,AND(B60=DB$4,DA$4&gt;=DB$4),AS$6,OR(A60&gt;DA$4,B60&gt;DB$4),AS59*(1+Setup!C$103))</f>
        <v>0</v>
      </c>
      <c r="AT60" s="1" cm="1">
        <f t="array" ref="AT60">_xlfn.IFS(OR(AT$6="",AND(A60&gt;=DA$6,B60&gt;=DB$6),AND(A60&lt;DA$4,B60&lt;DB$4)),0,AND(A60=DA$4,DA$4&lt;=DB$4),AT$6,AND(B60=DB$4,DA$4&gt;=DB$4),AT$6,OR(A60&gt;DA$4,B60&gt;DB$4),AT59*(1+Setup!C$103))</f>
        <v>0</v>
      </c>
      <c r="AU60" s="1" cm="1">
        <f t="array" ref="AU60">_xlfn.IFS(OR(AU$6="",AND(A60&gt;=DA$6,B60&gt;=DB$6),AND(A60&lt;DA$4,B60&lt;DB$4)),0,AND(A60=DA$4,DA$4&lt;=DB$4),AU$6,AND(B60=DB$4,DA$4&gt;=DB$4),AU$6,OR(A60&gt;DA$4,B60&gt;DB$4),AU59*(1+Setup!C$103))</f>
        <v>0</v>
      </c>
      <c r="AV60" s="1" cm="1">
        <f t="array" ref="AV60">_xlfn.IFS(OR(AV$6="",AND(A60&gt;=DA$6,B60&gt;=DB$6),AND(A60&lt;DA$4,B60&lt;DB$4)),0,AND(A60=DA$4,DA$4&lt;=DB$4),AV$6,AND(B60=DB$4,DA$4&gt;=DB$4),AV$6,OR(A60&gt;DA$4,B60&gt;DB$4),AV59*(1+Setup!C$103))</f>
        <v>0</v>
      </c>
      <c r="AW60" s="1">
        <f t="shared" si="41"/>
        <v>0</v>
      </c>
      <c r="AY60" s="1" cm="1">
        <f t="array" ref="AY60">_xlfn.IFS(OR(AND(A60&gt;=DA$6,B60&gt;=DB$6),A60&lt;DA$5),0,AND(A60=DA$5,YEAR(C60)&gt;=Lookups!D$89),VLOOKUP(A60,Lookups!B$94:F$102,3),AND(A60=DA$5,YEAR(C60)&lt;Lookups!D$89),VLOOKUP(A60,Lookups!B$94:F$102,2),AND(A60&gt;DA$5,YEAR(C60)=Lookups!D$89),(AY59*Lookups!D$90)*(1+Lookups!C$20),AND(A60&gt;DA$5,YEAR(C60)&lt;&gt;Lookups!D$89),AY59*(1+Lookups!C$20))</f>
        <v>0</v>
      </c>
      <c r="AZ60" s="1" cm="1">
        <f t="array" ref="AZ60">_xlfn.IFS(OR(ISBLANK(Setup!K$91),Setup!K$91=0,AND(A60&gt;=DA$6,B60&gt;=DB$6),B60&lt;DB$5),0,AND(B60=DB$5,YEAR(C60)&gt;=Lookups!D$89),VLOOKUP(B60,Lookups!B$94:F$102,5),AND(B60=DB$5,YEAR(C60)&lt;Lookups!D$89),VLOOKUP(B60,Lookups!B$94:F$102,4),AND(B60&gt;DB$5,YEAR(C60)=Lookups!D$89),(AZ59*Lookups!D$90)*(1+Lookups!C$20),AND(B60&gt;DB$5,YEAR(C60)&lt;&gt;Lookups!D$89),AZ59*(1+Lookups!C$20))</f>
        <v>0</v>
      </c>
      <c r="BA60" s="65">
        <f>IF(OR(AY60&gt;0,AZ60&gt;0),(AY60+AZ60)*Lookups!D$120,0)</f>
        <v>0</v>
      </c>
      <c r="BB60" s="1" cm="1">
        <f t="array" ref="BB60">_xlfn.IFS(AND(A60&lt;DA$4,B60&lt;DB$4),0,OR(_xlfn.XOR(A60&gt;DA$6,B60&gt;DB$6),_xlfn.XOR(A60&gt;=DA$4,B60&gt;=DB$4)),IF(AP60-SUM(AW60,AY60:AZ60)&gt;0,AP60-SUM(AW60,AY60:AZ60),0),AQ60-SUM(AW60,AY60:AZ60)&gt;0, AQ60-SUM(AW60,AY60:AZ60),AQ60-SUM(AW60,AY60:AZ60)&lt;=0,0)</f>
        <v>0</v>
      </c>
      <c r="BD60" s="1" cm="1">
        <f t="array" ref="BD60">_xlfn.IFS(AND(A60&gt;=DA$6,B60&gt;=DB$6),0,AND(A60&gt;=DA$6,B60&gt;=Lookups!C$35),D60/VLOOKUP(B60,Lookups!C$37:D$67,2),A60&lt;Lookups!$C$35,0,A60&gt;=Lookups!C$35,D60/VLOOKUP(A60,Lookups!C$37:D$67,2))</f>
        <v>0</v>
      </c>
      <c r="BE60" s="1" cm="1">
        <f t="array" ref="BE60">_xlfn.IFS(AND(A60&gt;=DA$6,B60&gt;=DB$6),0,AND(B60&gt;=DB$6,A60&gt;=Lookups!C$35),F60/VLOOKUP(A60,Lookups!C$37:D$67,2),B60&lt;Lookups!$C$35,0,B60&gt;=Lookups!C$35,F60/VLOOKUP(B60,Lookups!C$37:D$67,2))</f>
        <v>0</v>
      </c>
      <c r="BF60" s="1" cm="1">
        <f t="array" ref="BF60">_xlfn.IFS($BB60&lt;=0,0,AND(A60&gt;=DA$4,B60&gt;=DB$4,$BB60*I60&lt;(BD60+BE60)),0,AND(A60&gt;=DA$4,B60&gt;=DB$4,H60&gt;=(BB60*I60)-BD60-BE60),(BB60*I60)-BD60-BE60,AND(A60&gt;=DA$4,B60&gt;=DB$4,H60&lt;(BB60*I60)-BD60-BE60),H60,AND(A60&gt;=DA$4,$BB60*I60&lt;(BD60)),0,AND(A60&gt;=DA$4,H60&gt;=(BB60*I60)-BD60),(BB60*I60)-BD60,AND(A60&gt;=DA$4,H60&lt;(BB60*I60)-BD60),H60,AND(B60&gt;=DB$4,$BB60*I60&lt;(BE60)),0,AND(B60&gt;=DB$4,H60&gt;=(BB60*I60)-BE60),(BB60*I60)-BE60,AND(B60&gt;=DB$4,H60&lt;(BB60*I60)-BE60),H60)</f>
        <v>0</v>
      </c>
      <c r="BG60" s="1">
        <f t="shared" si="53"/>
        <v>0</v>
      </c>
      <c r="BH60" s="1" cm="1">
        <f t="array" ref="BH60">_xlfn.IFS(OR(D60=0,A60&lt;DA$4),0,AND(A60&gt;=DA$4,B60&gt;=DB$4,D60&lt;BD60+($BF60*(D60/$H60))+(-$BP60*(D60/$H60))),D60,AND(A60&gt;=DA$4,B60&gt;=DB$4,$BB60&gt;$BG60),BD60+($BF60*(D60/$H60))+(-$BP60*(D60/$H60)),AND(A60&gt;=DA$4,B60&gt;=DB$4,OR(A60&gt;DA$6, B60&gt;DB$6),$AP60-SUM($AW60,$AY60:$AZ60)&lt;0),BD60+($BF60*(D60/$H60))+(-$BP60*(D60/$H60))+(BP60*(D60/$H60)),AND(A60&gt;=DA$4,B60&gt;=DB$4,$AQ60-SUM($AW60,$AY60:$AZ60)&lt;0),BD60+($BF60*(D60/$H60))+(-$BP60*(D60/$H60))+(BP60*(D60/$H60)),AND(A60&gt;=DA$4,D60&lt;BD60+$BF60-$BP60),D60,AND(A60&gt;=DA$4,$AP60-SUM($AW60,$AY60:$AZ60)&lt;0),BD60+($BF60*(D60/$H60))+(-$BP60*(D60/$H60))+(BP60*(D60/$H60)),A60&gt;=DA$4,BD60+$BF60-$BP60)</f>
        <v>0</v>
      </c>
      <c r="BI60" s="1" cm="1">
        <f t="array" ref="BI60">_xlfn.IFS(OR(F60=0,B60&lt;DB$4),0,AND(A60&gt;=DA$4,B60&gt;=DB$4,F60&lt;BE60+($BF60*(F60/$H60))+(-$BP60*(F60/$H60))),F60,AND(A60&gt;=DA$4,B60&gt;=DB$4,$BB60&gt;$BG60),BE60+($BF60*(F60/$H60))+(-$BP60*(F60/$H60)),AND(A60&gt;=DA$4,B60&gt;=DB$4,OR(A60&gt;DA$6, B60&gt;DB$6),$AP60-SUM($AW60,$AY60:$AZ60)&lt;0),BE60+($BF60*(F60/$H60))+(-$BP60*(F60/$H60))+(BP60*(F60/$H60)),AND(A60&gt;=DA$4,B60&gt;=DB$4,$AQ60-SUM($AW60,$AY60:$AZ60)&lt;0),BE60+($BF60*(F60/$H60))+(-$BP60*(F60/$H60))+(BP60*(F60/$H60)),AND(B60&gt;=DB$4,F60&lt;BE60+$BF60-$BP60),F60,AND(B60&gt;=DB$4,$AP60-SUM($AW60,$AY60:$AZ60)&lt;0),BE60+($BF60*(F60/$H60))+(-$BP60*(F60/$H60))+(BP60*(F60/$H60)),B60&gt;=DB$4,BE60+$BF60-$BP60)</f>
        <v>0</v>
      </c>
      <c r="BJ60" s="64" cm="1">
        <f t="array" ref="BJ60">IF(AW60+BA60+BG60&gt;0, AW60+BA60+BG60-_xlfn.IFS(AND(A60&gt;=65,B60&gt;=65),VLOOKUP(Setup!I$4,Lookups!C$133:F$136,4),OR(A60&gt;=65,B60&gt;=65),VLOOKUP(Setup!I$4,Lookups!C$133:E$136,3),AND(A60&lt;65,B60&lt;65),VLOOKUP(Setup!I$4,Lookups!C$133:D$136,2)),0)</f>
        <v>0</v>
      </c>
      <c r="BK60" s="1" cm="1">
        <f t="array" ref="BK60">IF(BJ60&gt;0,_xlfn.IFS(Setup!I$4=Lookups!D$109,-_xlfn.IFS($BJ60&gt;=Lookups!D$157, Lookups!F$157+($BJ60-Lookups!D$157)*Lookups!G$157,$BJ60&gt;=Lookups!D$156, Lookups!F$156+($BJ60-Lookups!D$156)*Lookups!G$156,$BJ60&gt;=Lookups!D$155, Lookups!F$155+($BJ60-Lookups!D$155)*Lookups!G$155,$BJ60&gt;=Lookups!D$154, Lookups!F$154+($BJ60-Lookups!D$154)*Lookups!G$154,$BJ60&gt;=Lookups!D$153, Lookups!F$153+($BJ60-Lookups!D$153)*Lookups!G$153,$BJ60&gt;=Lookups!D$152, Lookups!F$152+($BJ60-Lookups!D$152)*Lookups!G$152,$BJ60&lt;Lookups!D$152,$BJ60*Lookups!G$151),Setup!I$4=Lookups!D$110,-_xlfn.IFS($BJ60&gt;=Lookups!D$167, Lookups!F$167+($BJ60-Lookups!D$167)*Lookups!G$167,$BJ60&gt;=Lookups!D$166, Lookups!F$166+($BJ60-Lookups!D$166)*Lookups!G$166,$BJ60&gt;=Lookups!D$165, Lookups!F$165+($BJ60-Lookups!D$165)*Lookups!G$165,$BJ60&gt;=Lookups!D$164, Lookups!F$164+($BJ60-Lookups!D$164)*Lookups!G$164,$BJ60&gt;=Lookups!D$163, Lookups!F$163+($BJ60-Lookups!D$163)*Lookups!G$163,$BJ60&gt;=Lookups!D$162, Lookups!F$162+($BJ60-Lookups!D$162)*Lookups!G$162,$BJ60&lt;Lookups!D$162,$BJ60*Lookups!G$161),Setup!I$4=Lookups!D$111,-_xlfn.IFS($BJ60&gt;=Lookups!D$177, Lookups!F$177+($BJ60-Lookups!D$177)*Lookups!G$177,$BJ60&gt;=Lookups!D$176, Lookups!F$176+($BJ60-Lookups!D$176)*Lookups!G$176,$BJ60&gt;=Lookups!D$175, Lookups!F$175+($BJ60-Lookups!D$175)*Lookups!G$175,$BJ60&gt;=Lookups!D$174, Lookups!F$174+($BJ60-Lookups!D$174)*Lookups!G$174,$BJ60&gt;=Lookups!D$173, Lookups!F$173+($BJ60-Lookups!D$173)*Lookups!G$173,$BJ60&gt;=Lookups!D$172, Lookups!F$172+($BJ60-Lookups!D$172)*Lookups!G$172,$BJ60&lt;Lookups!D$172,$BJ60*Lookups!G$171), Setup!I$4=Lookups!D$112,-_xlfn.IFS($BJ60&gt;=Lookups!D$187, Lookups!F$187+($BJ60-Lookups!D$187)*Lookups!G$187,$BJ60&gt;=Lookups!D$186, Lookups!F$186+($BJ60-Lookups!D$186)*Lookups!G$186,$BJ60&gt;=Lookups!D$185, Lookups!F$185+($BJ60-Lookups!D$185)*Lookups!G$185,$BJ60&gt;=Lookups!D$184, Lookups!F$184+($BJ60-Lookups!D$184)*Lookups!G$184,$BJ60&gt;=Lookups!D$183, Lookups!F$183+($BJ60-Lookups!D$183)*Lookups!G$183,$BJ60&gt;=Lookups!D$182, Lookups!F$182+($BJ60-Lookups!D$182)*Lookups!G$182,$BJ60&lt;Lookups!D$182,$BJ60*Lookups!G$181)),0)</f>
        <v>0</v>
      </c>
      <c r="BL60" s="18">
        <f t="shared" si="54"/>
        <v>0</v>
      </c>
      <c r="BM60" s="134">
        <f t="shared" si="55"/>
        <v>0</v>
      </c>
      <c r="BN60" s="134" cm="1">
        <f t="array" aca="1" ref="BN60" ca="1">INDIRECT(Setup!I$6&amp;"!"&amp;"A"&amp;ROW())</f>
        <v>0</v>
      </c>
      <c r="BO60" s="134">
        <f t="shared" si="56"/>
        <v>0</v>
      </c>
      <c r="BP60" s="1">
        <f t="shared" si="57"/>
        <v>0</v>
      </c>
      <c r="BQ60" s="1">
        <f t="shared" si="58"/>
        <v>0</v>
      </c>
      <c r="BS60" s="1">
        <f t="shared" si="50"/>
        <v>0</v>
      </c>
      <c r="BT60" s="1" cm="1">
        <f t="array" ref="BT60">-IF(BS60&gt;0,_xlfn.IFS((AW60+BA60+BG60+BS60)&gt;=VLOOKUP(Setup!I$4,Lookups!C$210:E$213,3),BS60*Lookups!D$203,(AW60+BA60+BG60+BS60)&gt;=VLOOKUP(Setup!I$4,Lookups!C$210:E$213,2),BS60*Lookups!D$197,(AW60+BA60+BG60+BS60)&lt;VLOOKUP(Setup!I$4,Lookups!C$210:E$213,2),0),0)</f>
        <v>0</v>
      </c>
      <c r="BU60" s="18">
        <f t="shared" si="51"/>
        <v>0</v>
      </c>
      <c r="BV60" s="1">
        <f t="shared" si="52"/>
        <v>0</v>
      </c>
      <c r="BW60" s="1" cm="1">
        <f t="array" aca="1" ref="BW60" ca="1">INDIRECT(Setup!I$6&amp;"!"&amp;"A"&amp;ROW()+100)</f>
        <v>0</v>
      </c>
      <c r="BX60" s="1">
        <f t="shared" ca="1" si="44"/>
        <v>0</v>
      </c>
      <c r="BY60" s="1">
        <f t="shared" ca="1" si="45"/>
        <v>0</v>
      </c>
      <c r="CA60" s="1">
        <f t="shared" si="59"/>
        <v>0</v>
      </c>
      <c r="CC60" s="1" cm="1">
        <f t="array" ref="CC60">_xlfn.IFS(AND(A60&lt;$DA$4,B60&lt;$DB$4),0,AND(AND(A60&gt;=$DA$4,B60&gt;=$DB$4),AND(A60&lt;=$DA$6,B60&lt;=$DB$6),AND(BH60=0,BI60=0)),SUM(AW60,AY60:AZ60,BD60:BF60,BP60,BS60,CA60)-AQ60,AND(AND(A60&gt;=$DA$4,B60&gt;=$DB$4),AND(A60&lt;=$DA$6,B60&lt;=$DB$6)),SUM(AW60,AY60:AZ60,BD60:BF60,BS60,CA60)-AQ60,AND(OR(A60&gt;=$DA$4,B60&gt;=$DB$4),AND(BH60=0,BI60=0)),SUM(AW60,AY60:AZ60,BD60:BF60,BP60,BS60,CA60)-AP60,OR(A60&gt;=$DA$4,B60&gt;=$DB$4),SUM(AW60,AY60:AZ60,BD60:BF60,BS60,CA60)-AP60)</f>
        <v>0</v>
      </c>
      <c r="CD60" s="142" t="str">
        <f t="shared" si="30"/>
        <v/>
      </c>
    </row>
    <row r="61" spans="1:82" x14ac:dyDescent="0.3">
      <c r="A61" s="354">
        <f t="shared" si="62"/>
        <v>54</v>
      </c>
      <c r="B61" s="354">
        <f t="shared" si="63"/>
        <v>54</v>
      </c>
      <c r="C61" s="359">
        <f t="shared" si="33"/>
        <v>19725</v>
      </c>
      <c r="D61" s="326" cm="1">
        <f t="array" ref="D61">_xlfn.IFS(AND(A61&gt;DA$6,B61&gt;DB$6),0,AND(A61&gt;DA$3,A61&lt;=DA$4),D60*(1+DH$1),OR(A61&gt;DA$6,A61&gt;DA$4),(D60-BH60)*(1+DH$2),A61&lt;=DA$4,(D60*(1+DH$1))+(D$4))</f>
        <v>0</v>
      </c>
      <c r="E61" s="375"/>
      <c r="F61" s="326" cm="1">
        <f t="array" ref="F61">_xlfn.IFS(AND(A61&gt;DA$6,B61&gt;DB$6),0,AND(B61&gt;DB$3,B61&lt;=DB$4),F60*(1+DH$1),OR(B61&gt;DB$6,B61&gt;DB$4),(F60-BI60)*(1+DH$2),B61&lt;=DB$4,(F60*(1+DH$1))+(F$4))</f>
        <v>0</v>
      </c>
      <c r="G61" s="375"/>
      <c r="H61" s="1">
        <f t="shared" si="60"/>
        <v>0</v>
      </c>
      <c r="I61" s="2">
        <f t="shared" si="36"/>
        <v>0</v>
      </c>
      <c r="J61" s="14">
        <f t="shared" si="64"/>
        <v>0</v>
      </c>
      <c r="L61" s="402" cm="1">
        <f t="array" ref="L61">_xlfn.IFS(AND(A61&gt;DA$6,B61&gt;DB$6),0,A61&lt;DA$6,0,A61=DA$6,L$4,AND(A61&gt;DA$6,B61&lt;=DB$4),L60*(1+DH$1),AND(A61&gt;DA$6,B61&gt;DB$4),IF(Y60=0,0,(L60-((L60/Y60)*BY60))*(1+DH$2)))</f>
        <v>0</v>
      </c>
      <c r="M61" s="402" cm="1">
        <f t="array" ref="M61">_xlfn.IFS(AND(A61&gt;DA$6,B61&gt;DB$6),0,B61&lt;DB$6,0,B61=DB$6,M$4,AND(B61&gt;DB$6,A61&lt;=DA$4),M60*(1+DH$1),AND(A61&gt;DA$4,B61&gt;DB$6),IF(Y60=0,0,(M60-((M60/Y60)*BY60))*(1+DH$2)))</f>
        <v>0</v>
      </c>
      <c r="N61" s="327"/>
      <c r="O61" s="327" cm="1">
        <f t="array" ref="O61">_xlfn.IFS(OR(ISBLANK(Setup!C$63),Setup!C$63&gt;YEAR(C61),AND(A61&gt;DA$6,B61&gt;DB$6),ISBLANK(Y60)),0,Setup!C$63=YEAR(C61),Setup!C$62,AND(OR(A61&lt;=DA$4,B61&lt;=DB$4),Setup!C$63&lt;YEAR(C61)),O60*(1+DH$1),AND(A61&gt;DA$4,B61&gt;DB$4,Setup!C$63&lt;YEAR(C61)),IF(Y60=0,0,(O60-((O60/Y60)*BY60))*(1+DH$2)))</f>
        <v>0</v>
      </c>
      <c r="P61" s="327" cm="1">
        <f t="array" ref="P61">_xlfn.IFS(OR(ISBLANK(Setup!C$67),Setup!C$67&gt;YEAR(C61),AND(A61&gt;DA$6,B61&gt;DB$6)),0,Setup!C$67=YEAR(C61),Setup!C$66,AND(OR(A61&lt;=DA$4,B61&lt;=DB$4),Setup!C$67&lt;YEAR(C61)),P60*(1+DH$1),AND(A61&gt;DA$4,B61&gt;DB$4,Setup!C$67&lt;YEAR(C61)),IF(Y60=0,0,(P60-((P60/Y60)*BY60))*(1+DH$2)))</f>
        <v>0</v>
      </c>
      <c r="Q61" s="327" cm="1">
        <f t="array" ref="Q61">_xlfn.IFS(OR(ISBLANK(Setup!C$71),Setup!C$71&gt;YEAR(C61),AND(A61&gt;DA$6,B61&gt;DB$6)),0,Setup!C$71=YEAR(C61),Setup!C$70,AND(OR(A61&lt;=DA$4,B61&lt;=DB$4),Setup!C$71&lt;YEAR(C61)),Q60*(1+DH$1),AND(A61&gt;DA$4,B61&gt;DB$4,Setup!C$71&lt;YEAR(C61)),IF(Y60=0,0,(Q60-((Q60/Y60)*BY60))*(1+DH$2)))</f>
        <v>0</v>
      </c>
      <c r="R61" s="327" cm="1">
        <f t="array" ref="R61">_xlfn.IFS(OR(ISBLANK(Setup!C$75),Setup!C$75&gt;YEAR(C61),AND(A61&gt;DA$6,B61&gt;DB$6)),0,Setup!C$75=YEAR(C61),Setup!C$74,AND(OR(A61&lt;=DA$4,B61&lt;=DB$4),Setup!C$75&lt;YEAR(C61)),R60*(1+DH$1),AND(A61&gt;DA$4,B61&gt;DB$4,Setup!C$75&lt;YEAR(C61)),IF(Y60=0,0,(R60-((R60/Y60)*BY60))*(1+DH$2)))</f>
        <v>0</v>
      </c>
      <c r="S61" s="327"/>
      <c r="T61" s="326" cm="1">
        <f t="array" ref="T61">_xlfn.IFS(AND($A61&gt;$DA$6,$B61&gt;$DB$6),0,AND($W$2=$DA$2,$A61&gt;$DA$4),IF($Y60=0,0,(T60-((T60/$Y60)*$BY60))*(1+$DH$2)),AND($W$2=$DB$2,$B61&gt;$DB$4),IF($Y60=0,0,(T60-((T60/$Y60)*$BY60))*(1+$DH$2)),AND($W$2=$DA$2,OR($A61&gt;$DA$3,$A61&gt;$DA$6)),(T60*(1+$DH$1)),AND($W$2=$DB$2,OR($B61&gt;$DB$3,$B61&gt;$DB$6)),(T60*(1+$DH$1)),AND($W$2=$DA$2,$A61&lt;=$DA$3,$A61&lt;=$DA$4,$A61&lt;=$DA$5),(T60*(1+$DH$1))+(T$4),AND($W$2=$DB$2,$B61&lt;=$DB$3,$B61&lt;=$DB$4,$B61&lt;=$DB$5),(T60*(1+$DH$1))+(T$4))</f>
        <v>0</v>
      </c>
      <c r="U61" s="326" cm="1">
        <f t="array" ref="U61">_xlfn.IFS(AND($A61&gt;$DA$6,$B61&gt;$DB$6),0,AND($W$2=$DA$2,$A61&gt;$DA$4),IF($Y60=0,0,(U60-((U60/$Y60)*$BY60))*(1+$DH$2)),AND($W$2=$DB$2,$B61&gt;$DB$4),IF($Y60=0,0,(U60-((U60/$Y60)*$BY60))*(1+$DH$2)),AND($W$2=$DA$2,OR($A61&gt;$DA$3,$A61&gt;$DA$6)),(U60*(1+$DH$1)),AND($W$2=$DB$2,OR($B61&gt;$DB$3,$B61&gt;$DB$6)),(U60*(1+$DH$1)),AND($W$2=$DA$2,$A61&lt;=$DA$3,$A61&lt;=$DA$4,$A61&lt;=$DA$5),(U60*(1+$DH$1))+(U$4),AND($W$2=$DB$2,$B61&lt;=$DB$3,$B61&lt;=$DB$4,$B61&lt;=$DB$5),(U60*(1+$DH$1))+(U$4))</f>
        <v>0</v>
      </c>
      <c r="V61" s="326" cm="1">
        <f t="array" ref="V61">_xlfn.IFS(AND($A61&gt;$DA$6,$B61&gt;$DB$6),0,AND($W$2=$DA$2,$A61&gt;$DA$4),IF($Y60=0,0,(V60-((V60/$Y60)*$BY60))*(1+$DH$2)),AND($W$2=$DB$2,$B61&gt;$DB$4),IF($Y60=0,0,(V60-((V60/$Y60)*$BY60))*(1+$DH$2)),AND($W$2=$DA$2,OR($A61&gt;$DA$3,$A61&gt;$DA$6)),(V60*(1+$DH$1)),AND($W$2=$DB$2,OR($B61&gt;$DB$3,$B61&gt;$DB$6)),(V60*(1+$DH$1)),AND($W$2=$DA$2,$A61&lt;=$DA$3,$A61&lt;=$DA$4,$A61&lt;=$DA$5),(V60*(1+$DH$1))+(V$4),AND($W$2=$DB$2,$B61&lt;=$DB$3,$B61&lt;=$DB$4,$B61&lt;=$DB$5),(V60*(1+$DH$1))+(V$4))</f>
        <v>0</v>
      </c>
      <c r="W61" s="326" cm="1">
        <f t="array" ref="W61">_xlfn.IFS(AND($A61&gt;$DA$6,$B61&gt;$DB$6),0,AND($W$2=$DA$2,$A61&gt;$DA$4),IF($Y60=0,0,(W60-((W60/$Y60)*$BY60))*(1+$DH$2)),AND($W$2=$DB$2,$B61&gt;$DB$4),IF($Y60=0,0,(W60-((W60/$Y60)*$BY60))*(1+$DH$2)),AND($W$2=$DA$2,OR($A61&gt;$DA$3,$A61&gt;$DA$6)),(W60*(1+$DH$1)),AND($W$2=$DB$2,OR($B61&gt;$DB$3,$B61&gt;$DB$6)),(W60*(1+$DH$1)),AND($W$2=$DA$2,$A61&lt;=$DA$3,$A61&lt;=$DA$4,$A61&lt;=$DA$5),(W60*(1+$DH$1))+(W$4),AND($W$2=$DB$2,$B61&lt;=$DB$3,$B61&lt;=$DB$4,$B61&lt;=$DB$5),(W60*(1+$DH$1))+(W$4))</f>
        <v>0</v>
      </c>
      <c r="Y61" s="1">
        <f t="shared" si="47"/>
        <v>0</v>
      </c>
      <c r="Z61" s="2">
        <f t="shared" si="37"/>
        <v>0</v>
      </c>
      <c r="AA61" s="375"/>
      <c r="AC61" s="326" cm="1">
        <f t="array" ref="AC61">_xlfn.IFS(AND(A61&gt;DA$6,B61&gt;DB$6),0,AND(A61&gt;DA$4,B61&gt;DB$4),IF(AG60=0,0,(AC60-((AC60/AG60)*CA60))*(1+DH$2)),OR(A61&gt;DA$3,A61&gt;DA$6),AC60*(1+DH$1),A61&gt;DA$4,(AC60-CA60)*(1+DH$2),AND(A61&lt;=DA$3,A61&lt;=DA$4,A61&lt;=DA$6),(AC60*(1+DH$1))+(AC$4))</f>
        <v>0</v>
      </c>
      <c r="AD61" s="375"/>
      <c r="AE61" s="326" cm="1">
        <f t="array" ref="AE61">_xlfn.IFS(AND(A61&gt;DA$6,B61&gt;DB$6),0,AND(A61&gt;DA$4,B61&gt;DB$4),IF(AG60=0,0,(AE60-((AE60/AG60)*CA60))*(1+DH$2)),OR(B61&gt;DB$3,B61&gt;DB$6),AE60*(1+DH$1),B61&gt;DB$4,(AE60-CA60)*(1+DH$2),AND(B61&lt;=DB$3,B61&lt;=DB$4,B61&lt;=DB$6),(AE60*(1+DH$1))+(AE$4))</f>
        <v>0</v>
      </c>
      <c r="AF61" s="375"/>
      <c r="AG61" s="1">
        <f t="shared" si="61"/>
        <v>0</v>
      </c>
      <c r="AH61" s="2">
        <f t="shared" si="48"/>
        <v>0</v>
      </c>
      <c r="AI61" s="14">
        <f t="shared" si="38"/>
        <v>0</v>
      </c>
      <c r="AK61" s="1">
        <f t="shared" si="49"/>
        <v>0</v>
      </c>
      <c r="AL61" s="14">
        <f t="shared" si="39"/>
        <v>0</v>
      </c>
      <c r="AM61" s="14" t="str">
        <f t="shared" si="23"/>
        <v/>
      </c>
      <c r="AO61" s="15">
        <f t="shared" si="40"/>
        <v>0</v>
      </c>
      <c r="AP61" s="1">
        <f>IF(AND(B61&gt;=$DB$6,A61&gt;=$DA$6),0,AP60*(1+Lookups!C$12))</f>
        <v>0</v>
      </c>
      <c r="AQ61" s="1">
        <f>IF(AND(B61&gt;=$DB$6,A61&gt;=$DA$6),0,AQ60*(1+Lookups!C$12))</f>
        <v>0</v>
      </c>
      <c r="AS61" s="1" cm="1">
        <f t="array" ref="AS61">_xlfn.IFS(OR(AS$6="",AND(A61&gt;=DA$6,B61&gt;=DB$6),AND(A61&lt;DA$4,B61&lt;DB$4)),0,AND(A61=DA$4,DA$4&lt;=DB$4),AS$6,AND(B61=DB$4,DA$4&gt;=DB$4),AS$6,OR(A61&gt;DA$4,B61&gt;DB$4),AS60*(1+Setup!C$103))</f>
        <v>0</v>
      </c>
      <c r="AT61" s="1" cm="1">
        <f t="array" ref="AT61">_xlfn.IFS(OR(AT$6="",AND(A61&gt;=DA$6,B61&gt;=DB$6),AND(A61&lt;DA$4,B61&lt;DB$4)),0,AND(A61=DA$4,DA$4&lt;=DB$4),AT$6,AND(B61=DB$4,DA$4&gt;=DB$4),AT$6,OR(A61&gt;DA$4,B61&gt;DB$4),AT60*(1+Setup!C$103))</f>
        <v>0</v>
      </c>
      <c r="AU61" s="1" cm="1">
        <f t="array" ref="AU61">_xlfn.IFS(OR(AU$6="",AND(A61&gt;=DA$6,B61&gt;=DB$6),AND(A61&lt;DA$4,B61&lt;DB$4)),0,AND(A61=DA$4,DA$4&lt;=DB$4),AU$6,AND(B61=DB$4,DA$4&gt;=DB$4),AU$6,OR(A61&gt;DA$4,B61&gt;DB$4),AU60*(1+Setup!C$103))</f>
        <v>0</v>
      </c>
      <c r="AV61" s="1" cm="1">
        <f t="array" ref="AV61">_xlfn.IFS(OR(AV$6="",AND(A61&gt;=DA$6,B61&gt;=DB$6),AND(A61&lt;DA$4,B61&lt;DB$4)),0,AND(A61=DA$4,DA$4&lt;=DB$4),AV$6,AND(B61=DB$4,DA$4&gt;=DB$4),AV$6,OR(A61&gt;DA$4,B61&gt;DB$4),AV60*(1+Setup!C$103))</f>
        <v>0</v>
      </c>
      <c r="AW61" s="1">
        <f t="shared" si="41"/>
        <v>0</v>
      </c>
      <c r="AY61" s="1" cm="1">
        <f t="array" ref="AY61">_xlfn.IFS(OR(AND(A61&gt;=DA$6,B61&gt;=DB$6),A61&lt;DA$5),0,AND(A61=DA$5,YEAR(C61)&gt;=Lookups!D$89),VLOOKUP(A61,Lookups!B$94:F$102,3),AND(A61=DA$5,YEAR(C61)&lt;Lookups!D$89),VLOOKUP(A61,Lookups!B$94:F$102,2),AND(A61&gt;DA$5,YEAR(C61)=Lookups!D$89),(AY60*Lookups!D$90)*(1+Lookups!C$20),AND(A61&gt;DA$5,YEAR(C61)&lt;&gt;Lookups!D$89),AY60*(1+Lookups!C$20))</f>
        <v>0</v>
      </c>
      <c r="AZ61" s="1" cm="1">
        <f t="array" ref="AZ61">_xlfn.IFS(OR(ISBLANK(Setup!K$91),Setup!K$91=0,AND(A61&gt;=DA$6,B61&gt;=DB$6),B61&lt;DB$5),0,AND(B61=DB$5,YEAR(C61)&gt;=Lookups!D$89),VLOOKUP(B61,Lookups!B$94:F$102,5),AND(B61=DB$5,YEAR(C61)&lt;Lookups!D$89),VLOOKUP(B61,Lookups!B$94:F$102,4),AND(B61&gt;DB$5,YEAR(C61)=Lookups!D$89),(AZ60*Lookups!D$90)*(1+Lookups!C$20),AND(B61&gt;DB$5,YEAR(C61)&lt;&gt;Lookups!D$89),AZ60*(1+Lookups!C$20))</f>
        <v>0</v>
      </c>
      <c r="BA61" s="65">
        <f>IF(OR(AY61&gt;0,AZ61&gt;0),(AY61+AZ61)*Lookups!D$120,0)</f>
        <v>0</v>
      </c>
      <c r="BB61" s="1" cm="1">
        <f t="array" ref="BB61">_xlfn.IFS(AND(A61&lt;DA$4,B61&lt;DB$4),0,OR(_xlfn.XOR(A61&gt;DA$6,B61&gt;DB$6),_xlfn.XOR(A61&gt;=DA$4,B61&gt;=DB$4)),IF(AP61-SUM(AW61,AY61:AZ61)&gt;0,AP61-SUM(AW61,AY61:AZ61),0),AQ61-SUM(AW61,AY61:AZ61)&gt;0, AQ61-SUM(AW61,AY61:AZ61),AQ61-SUM(AW61,AY61:AZ61)&lt;=0,0)</f>
        <v>0</v>
      </c>
      <c r="BD61" s="1" cm="1">
        <f t="array" ref="BD61">_xlfn.IFS(AND(A61&gt;=DA$6,B61&gt;=DB$6),0,AND(A61&gt;=DA$6,B61&gt;=Lookups!C$35),D61/VLOOKUP(B61,Lookups!C$37:D$67,2),A61&lt;Lookups!$C$35,0,A61&gt;=Lookups!C$35,D61/VLOOKUP(A61,Lookups!C$37:D$67,2))</f>
        <v>0</v>
      </c>
      <c r="BE61" s="1" cm="1">
        <f t="array" ref="BE61">_xlfn.IFS(AND(A61&gt;=DA$6,B61&gt;=DB$6),0,AND(B61&gt;=DB$6,A61&gt;=Lookups!C$35),F61/VLOOKUP(A61,Lookups!C$37:D$67,2),B61&lt;Lookups!$C$35,0,B61&gt;=Lookups!C$35,F61/VLOOKUP(B61,Lookups!C$37:D$67,2))</f>
        <v>0</v>
      </c>
      <c r="BF61" s="1" cm="1">
        <f t="array" ref="BF61">_xlfn.IFS($BB61&lt;=0,0,AND(A61&gt;=DA$4,B61&gt;=DB$4,$BB61*I61&lt;(BD61+BE61)),0,AND(A61&gt;=DA$4,B61&gt;=DB$4,H61&gt;=(BB61*I61)-BD61-BE61),(BB61*I61)-BD61-BE61,AND(A61&gt;=DA$4,B61&gt;=DB$4,H61&lt;(BB61*I61)-BD61-BE61),H61,AND(A61&gt;=DA$4,$BB61*I61&lt;(BD61)),0,AND(A61&gt;=DA$4,H61&gt;=(BB61*I61)-BD61),(BB61*I61)-BD61,AND(A61&gt;=DA$4,H61&lt;(BB61*I61)-BD61),H61,AND(B61&gt;=DB$4,$BB61*I61&lt;(BE61)),0,AND(B61&gt;=DB$4,H61&gt;=(BB61*I61)-BE61),(BB61*I61)-BE61,AND(B61&gt;=DB$4,H61&lt;(BB61*I61)-BE61),H61)</f>
        <v>0</v>
      </c>
      <c r="BG61" s="1">
        <f t="shared" si="53"/>
        <v>0</v>
      </c>
      <c r="BH61" s="1" cm="1">
        <f t="array" ref="BH61">_xlfn.IFS(OR(D61=0,A61&lt;DA$4),0,AND(A61&gt;=DA$4,B61&gt;=DB$4,D61&lt;BD61+($BF61*(D61/$H61))+(-$BP61*(D61/$H61))),D61,AND(A61&gt;=DA$4,B61&gt;=DB$4,$BB61&gt;$BG61),BD61+($BF61*(D61/$H61))+(-$BP61*(D61/$H61)),AND(A61&gt;=DA$4,B61&gt;=DB$4,OR(A61&gt;DA$6, B61&gt;DB$6),$AP61-SUM($AW61,$AY61:$AZ61)&lt;0),BD61+($BF61*(D61/$H61))+(-$BP61*(D61/$H61))+(BP61*(D61/$H61)),AND(A61&gt;=DA$4,B61&gt;=DB$4,$AQ61-SUM($AW61,$AY61:$AZ61)&lt;0),BD61+($BF61*(D61/$H61))+(-$BP61*(D61/$H61))+(BP61*(D61/$H61)),AND(A61&gt;=DA$4,D61&lt;BD61+$BF61-$BP61),D61,AND(A61&gt;=DA$4,$AP61-SUM($AW61,$AY61:$AZ61)&lt;0),BD61+($BF61*(D61/$H61))+(-$BP61*(D61/$H61))+(BP61*(D61/$H61)),A61&gt;=DA$4,BD61+$BF61-$BP61)</f>
        <v>0</v>
      </c>
      <c r="BI61" s="1" cm="1">
        <f t="array" ref="BI61">_xlfn.IFS(OR(F61=0,B61&lt;DB$4),0,AND(A61&gt;=DA$4,B61&gt;=DB$4,F61&lt;BE61+($BF61*(F61/$H61))+(-$BP61*(F61/$H61))),F61,AND(A61&gt;=DA$4,B61&gt;=DB$4,$BB61&gt;$BG61),BE61+($BF61*(F61/$H61))+(-$BP61*(F61/$H61)),AND(A61&gt;=DA$4,B61&gt;=DB$4,OR(A61&gt;DA$6, B61&gt;DB$6),$AP61-SUM($AW61,$AY61:$AZ61)&lt;0),BE61+($BF61*(F61/$H61))+(-$BP61*(F61/$H61))+(BP61*(F61/$H61)),AND(A61&gt;=DA$4,B61&gt;=DB$4,$AQ61-SUM($AW61,$AY61:$AZ61)&lt;0),BE61+($BF61*(F61/$H61))+(-$BP61*(F61/$H61))+(BP61*(F61/$H61)),AND(B61&gt;=DB$4,F61&lt;BE61+$BF61-$BP61),F61,AND(B61&gt;=DB$4,$AP61-SUM($AW61,$AY61:$AZ61)&lt;0),BE61+($BF61*(F61/$H61))+(-$BP61*(F61/$H61))+(BP61*(F61/$H61)),B61&gt;=DB$4,BE61+$BF61-$BP61)</f>
        <v>0</v>
      </c>
      <c r="BJ61" s="64" cm="1">
        <f t="array" ref="BJ61">IF(AW61+BA61+BG61&gt;0, AW61+BA61+BG61-_xlfn.IFS(AND(A61&gt;=65,B61&gt;=65),VLOOKUP(Setup!I$4,Lookups!C$133:F$136,4),OR(A61&gt;=65,B61&gt;=65),VLOOKUP(Setup!I$4,Lookups!C$133:E$136,3),AND(A61&lt;65,B61&lt;65),VLOOKUP(Setup!I$4,Lookups!C$133:D$136,2)),0)</f>
        <v>0</v>
      </c>
      <c r="BK61" s="1" cm="1">
        <f t="array" ref="BK61">IF(BJ61&gt;0,_xlfn.IFS(Setup!I$4=Lookups!D$109,-_xlfn.IFS($BJ61&gt;=Lookups!D$157, Lookups!F$157+($BJ61-Lookups!D$157)*Lookups!G$157,$BJ61&gt;=Lookups!D$156, Lookups!F$156+($BJ61-Lookups!D$156)*Lookups!G$156,$BJ61&gt;=Lookups!D$155, Lookups!F$155+($BJ61-Lookups!D$155)*Lookups!G$155,$BJ61&gt;=Lookups!D$154, Lookups!F$154+($BJ61-Lookups!D$154)*Lookups!G$154,$BJ61&gt;=Lookups!D$153, Lookups!F$153+($BJ61-Lookups!D$153)*Lookups!G$153,$BJ61&gt;=Lookups!D$152, Lookups!F$152+($BJ61-Lookups!D$152)*Lookups!G$152,$BJ61&lt;Lookups!D$152,$BJ61*Lookups!G$151),Setup!I$4=Lookups!D$110,-_xlfn.IFS($BJ61&gt;=Lookups!D$167, Lookups!F$167+($BJ61-Lookups!D$167)*Lookups!G$167,$BJ61&gt;=Lookups!D$166, Lookups!F$166+($BJ61-Lookups!D$166)*Lookups!G$166,$BJ61&gt;=Lookups!D$165, Lookups!F$165+($BJ61-Lookups!D$165)*Lookups!G$165,$BJ61&gt;=Lookups!D$164, Lookups!F$164+($BJ61-Lookups!D$164)*Lookups!G$164,$BJ61&gt;=Lookups!D$163, Lookups!F$163+($BJ61-Lookups!D$163)*Lookups!G$163,$BJ61&gt;=Lookups!D$162, Lookups!F$162+($BJ61-Lookups!D$162)*Lookups!G$162,$BJ61&lt;Lookups!D$162,$BJ61*Lookups!G$161),Setup!I$4=Lookups!D$111,-_xlfn.IFS($BJ61&gt;=Lookups!D$177, Lookups!F$177+($BJ61-Lookups!D$177)*Lookups!G$177,$BJ61&gt;=Lookups!D$176, Lookups!F$176+($BJ61-Lookups!D$176)*Lookups!G$176,$BJ61&gt;=Lookups!D$175, Lookups!F$175+($BJ61-Lookups!D$175)*Lookups!G$175,$BJ61&gt;=Lookups!D$174, Lookups!F$174+($BJ61-Lookups!D$174)*Lookups!G$174,$BJ61&gt;=Lookups!D$173, Lookups!F$173+($BJ61-Lookups!D$173)*Lookups!G$173,$BJ61&gt;=Lookups!D$172, Lookups!F$172+($BJ61-Lookups!D$172)*Lookups!G$172,$BJ61&lt;Lookups!D$172,$BJ61*Lookups!G$171), Setup!I$4=Lookups!D$112,-_xlfn.IFS($BJ61&gt;=Lookups!D$187, Lookups!F$187+($BJ61-Lookups!D$187)*Lookups!G$187,$BJ61&gt;=Lookups!D$186, Lookups!F$186+($BJ61-Lookups!D$186)*Lookups!G$186,$BJ61&gt;=Lookups!D$185, Lookups!F$185+($BJ61-Lookups!D$185)*Lookups!G$185,$BJ61&gt;=Lookups!D$184, Lookups!F$184+($BJ61-Lookups!D$184)*Lookups!G$184,$BJ61&gt;=Lookups!D$183, Lookups!F$183+($BJ61-Lookups!D$183)*Lookups!G$183,$BJ61&gt;=Lookups!D$182, Lookups!F$182+($BJ61-Lookups!D$182)*Lookups!G$182,$BJ61&lt;Lookups!D$182,$BJ61*Lookups!G$181)),0)</f>
        <v>0</v>
      </c>
      <c r="BL61" s="18">
        <f t="shared" si="54"/>
        <v>0</v>
      </c>
      <c r="BM61" s="134">
        <f t="shared" si="55"/>
        <v>0</v>
      </c>
      <c r="BN61" s="134" cm="1">
        <f t="array" aca="1" ref="BN61" ca="1">INDIRECT(Setup!I$6&amp;"!"&amp;"A"&amp;ROW())</f>
        <v>0</v>
      </c>
      <c r="BO61" s="134">
        <f t="shared" si="56"/>
        <v>0</v>
      </c>
      <c r="BP61" s="1">
        <f t="shared" si="57"/>
        <v>0</v>
      </c>
      <c r="BQ61" s="1">
        <f t="shared" si="58"/>
        <v>0</v>
      </c>
      <c r="BS61" s="1">
        <f t="shared" si="50"/>
        <v>0</v>
      </c>
      <c r="BT61" s="1" cm="1">
        <f t="array" ref="BT61">-IF(BS61&gt;0,_xlfn.IFS((AW61+BA61+BG61+BS61)&gt;=VLOOKUP(Setup!I$4,Lookups!C$210:E$213,3),BS61*Lookups!D$203,(AW61+BA61+BG61+BS61)&gt;=VLOOKUP(Setup!I$4,Lookups!C$210:E$213,2),BS61*Lookups!D$197,(AW61+BA61+BG61+BS61)&lt;VLOOKUP(Setup!I$4,Lookups!C$210:E$213,2),0),0)</f>
        <v>0</v>
      </c>
      <c r="BU61" s="18">
        <f t="shared" si="51"/>
        <v>0</v>
      </c>
      <c r="BV61" s="1">
        <f t="shared" si="52"/>
        <v>0</v>
      </c>
      <c r="BW61" s="1" cm="1">
        <f t="array" aca="1" ref="BW61" ca="1">INDIRECT(Setup!I$6&amp;"!"&amp;"A"&amp;ROW()+100)</f>
        <v>0</v>
      </c>
      <c r="BX61" s="1">
        <f t="shared" ca="1" si="44"/>
        <v>0</v>
      </c>
      <c r="BY61" s="1">
        <f t="shared" ca="1" si="45"/>
        <v>0</v>
      </c>
      <c r="CA61" s="1">
        <f t="shared" si="59"/>
        <v>0</v>
      </c>
      <c r="CC61" s="1" cm="1">
        <f t="array" ref="CC61">_xlfn.IFS(AND(A61&lt;$DA$4,B61&lt;$DB$4),0,AND(AND(A61&gt;=$DA$4,B61&gt;=$DB$4),AND(A61&lt;=$DA$6,B61&lt;=$DB$6),AND(BH61=0,BI61=0)),SUM(AW61,AY61:AZ61,BD61:BF61,BP61,BS61,CA61)-AQ61,AND(AND(A61&gt;=$DA$4,B61&gt;=$DB$4),AND(A61&lt;=$DA$6,B61&lt;=$DB$6)),SUM(AW61,AY61:AZ61,BD61:BF61,BS61,CA61)-AQ61,AND(OR(A61&gt;=$DA$4,B61&gt;=$DB$4),AND(BH61=0,BI61=0)),SUM(AW61,AY61:AZ61,BD61:BF61,BP61,BS61,CA61)-AP61,OR(A61&gt;=$DA$4,B61&gt;=$DB$4),SUM(AW61,AY61:AZ61,BD61:BF61,BS61,CA61)-AP61)</f>
        <v>0</v>
      </c>
      <c r="CD61" s="142" t="str">
        <f t="shared" si="30"/>
        <v/>
      </c>
    </row>
    <row r="62" spans="1:82" x14ac:dyDescent="0.3">
      <c r="A62" s="354">
        <f t="shared" si="62"/>
        <v>55</v>
      </c>
      <c r="B62" s="354">
        <f t="shared" si="63"/>
        <v>55</v>
      </c>
      <c r="C62" s="359">
        <f t="shared" si="33"/>
        <v>20090</v>
      </c>
      <c r="D62" s="326" cm="1">
        <f t="array" ref="D62">_xlfn.IFS(AND(A62&gt;DA$6,B62&gt;DB$6),0,AND(A62&gt;DA$3,A62&lt;=DA$4),D61*(1+DH$1),OR(A62&gt;DA$6,A62&gt;DA$4),(D61-BH61)*(1+DH$2),A62&lt;=DA$4,(D61*(1+DH$1))+(D$4))</f>
        <v>0</v>
      </c>
      <c r="E62" s="375"/>
      <c r="F62" s="326" cm="1">
        <f t="array" ref="F62">_xlfn.IFS(AND(A62&gt;DA$6,B62&gt;DB$6),0,AND(B62&gt;DB$3,B62&lt;=DB$4),F61*(1+DH$1),OR(B62&gt;DB$6,B62&gt;DB$4),(F61-BI61)*(1+DH$2),B62&lt;=DB$4,(F61*(1+DH$1))+(F$4))</f>
        <v>0</v>
      </c>
      <c r="G62" s="375"/>
      <c r="H62" s="1">
        <f t="shared" si="60"/>
        <v>0</v>
      </c>
      <c r="I62" s="2">
        <f t="shared" si="36"/>
        <v>0</v>
      </c>
      <c r="J62" s="14">
        <f t="shared" si="64"/>
        <v>0</v>
      </c>
      <c r="L62" s="402" cm="1">
        <f t="array" ref="L62">_xlfn.IFS(AND(A62&gt;DA$6,B62&gt;DB$6),0,A62&lt;DA$6,0,A62=DA$6,L$4,AND(A62&gt;DA$6,B62&lt;=DB$4),L61*(1+DH$1),AND(A62&gt;DA$6,B62&gt;DB$4),IF(Y61=0,0,(L61-((L61/Y61)*BY61))*(1+DH$2)))</f>
        <v>0</v>
      </c>
      <c r="M62" s="402" cm="1">
        <f t="array" ref="M62">_xlfn.IFS(AND(A62&gt;DA$6,B62&gt;DB$6),0,B62&lt;DB$6,0,B62=DB$6,M$4,AND(B62&gt;DB$6,A62&lt;=DA$4),M61*(1+DH$1),AND(A62&gt;DA$4,B62&gt;DB$6),IF(Y61=0,0,(M61-((M61/Y61)*BY61))*(1+DH$2)))</f>
        <v>0</v>
      </c>
      <c r="N62" s="327"/>
      <c r="O62" s="327" cm="1">
        <f t="array" ref="O62">_xlfn.IFS(OR(ISBLANK(Setup!C$63),Setup!C$63&gt;YEAR(C62),AND(A62&gt;DA$6,B62&gt;DB$6),ISBLANK(Y61)),0,Setup!C$63=YEAR(C62),Setup!C$62,AND(OR(A62&lt;=DA$4,B62&lt;=DB$4),Setup!C$63&lt;YEAR(C62)),O61*(1+DH$1),AND(A62&gt;DA$4,B62&gt;DB$4,Setup!C$63&lt;YEAR(C62)),IF(Y61=0,0,(O61-((O61/Y61)*BY61))*(1+DH$2)))</f>
        <v>0</v>
      </c>
      <c r="P62" s="327" cm="1">
        <f t="array" ref="P62">_xlfn.IFS(OR(ISBLANK(Setup!C$67),Setup!C$67&gt;YEAR(C62),AND(A62&gt;DA$6,B62&gt;DB$6)),0,Setup!C$67=YEAR(C62),Setup!C$66,AND(OR(A62&lt;=DA$4,B62&lt;=DB$4),Setup!C$67&lt;YEAR(C62)),P61*(1+DH$1),AND(A62&gt;DA$4,B62&gt;DB$4,Setup!C$67&lt;YEAR(C62)),IF(Y61=0,0,(P61-((P61/Y61)*BY61))*(1+DH$2)))</f>
        <v>0</v>
      </c>
      <c r="Q62" s="327" cm="1">
        <f t="array" ref="Q62">_xlfn.IFS(OR(ISBLANK(Setup!C$71),Setup!C$71&gt;YEAR(C62),AND(A62&gt;DA$6,B62&gt;DB$6)),0,Setup!C$71=YEAR(C62),Setup!C$70,AND(OR(A62&lt;=DA$4,B62&lt;=DB$4),Setup!C$71&lt;YEAR(C62)),Q61*(1+DH$1),AND(A62&gt;DA$4,B62&gt;DB$4,Setup!C$71&lt;YEAR(C62)),IF(Y61=0,0,(Q61-((Q61/Y61)*BY61))*(1+DH$2)))</f>
        <v>0</v>
      </c>
      <c r="R62" s="327" cm="1">
        <f t="array" ref="R62">_xlfn.IFS(OR(ISBLANK(Setup!C$75),Setup!C$75&gt;YEAR(C62),AND(A62&gt;DA$6,B62&gt;DB$6)),0,Setup!C$75=YEAR(C62),Setup!C$74,AND(OR(A62&lt;=DA$4,B62&lt;=DB$4),Setup!C$75&lt;YEAR(C62)),R61*(1+DH$1),AND(A62&gt;DA$4,B62&gt;DB$4,Setup!C$75&lt;YEAR(C62)),IF(Y61=0,0,(R61-((R61/Y61)*BY61))*(1+DH$2)))</f>
        <v>0</v>
      </c>
      <c r="S62" s="327"/>
      <c r="T62" s="326" cm="1">
        <f t="array" ref="T62">_xlfn.IFS(AND($A62&gt;$DA$6,$B62&gt;$DB$6),0,AND($W$2=$DA$2,$A62&gt;$DA$4),IF($Y61=0,0,(T61-((T61/$Y61)*$BY61))*(1+$DH$2)),AND($W$2=$DB$2,$B62&gt;$DB$4),IF($Y61=0,0,(T61-((T61/$Y61)*$BY61))*(1+$DH$2)),AND($W$2=$DA$2,OR($A62&gt;$DA$3,$A62&gt;$DA$6)),(T61*(1+$DH$1)),AND($W$2=$DB$2,OR($B62&gt;$DB$3,$B62&gt;$DB$6)),(T61*(1+$DH$1)),AND($W$2=$DA$2,$A62&lt;=$DA$3,$A62&lt;=$DA$4,$A62&lt;=$DA$5),(T61*(1+$DH$1))+(T$4),AND($W$2=$DB$2,$B62&lt;=$DB$3,$B62&lt;=$DB$4,$B62&lt;=$DB$5),(T61*(1+$DH$1))+(T$4))</f>
        <v>0</v>
      </c>
      <c r="U62" s="326" cm="1">
        <f t="array" ref="U62">_xlfn.IFS(AND($A62&gt;$DA$6,$B62&gt;$DB$6),0,AND($W$2=$DA$2,$A62&gt;$DA$4),IF($Y61=0,0,(U61-((U61/$Y61)*$BY61))*(1+$DH$2)),AND($W$2=$DB$2,$B62&gt;$DB$4),IF($Y61=0,0,(U61-((U61/$Y61)*$BY61))*(1+$DH$2)),AND($W$2=$DA$2,OR($A62&gt;$DA$3,$A62&gt;$DA$6)),(U61*(1+$DH$1)),AND($W$2=$DB$2,OR($B62&gt;$DB$3,$B62&gt;$DB$6)),(U61*(1+$DH$1)),AND($W$2=$DA$2,$A62&lt;=$DA$3,$A62&lt;=$DA$4,$A62&lt;=$DA$5),(U61*(1+$DH$1))+(U$4),AND($W$2=$DB$2,$B62&lt;=$DB$3,$B62&lt;=$DB$4,$B62&lt;=$DB$5),(U61*(1+$DH$1))+(U$4))</f>
        <v>0</v>
      </c>
      <c r="V62" s="326" cm="1">
        <f t="array" ref="V62">_xlfn.IFS(AND($A62&gt;$DA$6,$B62&gt;$DB$6),0,AND($W$2=$DA$2,$A62&gt;$DA$4),IF($Y61=0,0,(V61-((V61/$Y61)*$BY61))*(1+$DH$2)),AND($W$2=$DB$2,$B62&gt;$DB$4),IF($Y61=0,0,(V61-((V61/$Y61)*$BY61))*(1+$DH$2)),AND($W$2=$DA$2,OR($A62&gt;$DA$3,$A62&gt;$DA$6)),(V61*(1+$DH$1)),AND($W$2=$DB$2,OR($B62&gt;$DB$3,$B62&gt;$DB$6)),(V61*(1+$DH$1)),AND($W$2=$DA$2,$A62&lt;=$DA$3,$A62&lt;=$DA$4,$A62&lt;=$DA$5),(V61*(1+$DH$1))+(V$4),AND($W$2=$DB$2,$B62&lt;=$DB$3,$B62&lt;=$DB$4,$B62&lt;=$DB$5),(V61*(1+$DH$1))+(V$4))</f>
        <v>0</v>
      </c>
      <c r="W62" s="326" cm="1">
        <f t="array" ref="W62">_xlfn.IFS(AND($A62&gt;$DA$6,$B62&gt;$DB$6),0,AND($W$2=$DA$2,$A62&gt;$DA$4),IF($Y61=0,0,(W61-((W61/$Y61)*$BY61))*(1+$DH$2)),AND($W$2=$DB$2,$B62&gt;$DB$4),IF($Y61=0,0,(W61-((W61/$Y61)*$BY61))*(1+$DH$2)),AND($W$2=$DA$2,OR($A62&gt;$DA$3,$A62&gt;$DA$6)),(W61*(1+$DH$1)),AND($W$2=$DB$2,OR($B62&gt;$DB$3,$B62&gt;$DB$6)),(W61*(1+$DH$1)),AND($W$2=$DA$2,$A62&lt;=$DA$3,$A62&lt;=$DA$4,$A62&lt;=$DA$5),(W61*(1+$DH$1))+(W$4),AND($W$2=$DB$2,$B62&lt;=$DB$3,$B62&lt;=$DB$4,$B62&lt;=$DB$5),(W61*(1+$DH$1))+(W$4))</f>
        <v>0</v>
      </c>
      <c r="Y62" s="1">
        <f t="shared" si="47"/>
        <v>0</v>
      </c>
      <c r="Z62" s="2">
        <f t="shared" si="37"/>
        <v>0</v>
      </c>
      <c r="AA62" s="375"/>
      <c r="AC62" s="326" cm="1">
        <f t="array" ref="AC62">_xlfn.IFS(AND(A62&gt;DA$6,B62&gt;DB$6),0,AND(A62&gt;DA$4,B62&gt;DB$4),IF(AG61=0,0,(AC61-((AC61/AG61)*CA61))*(1+DH$2)),OR(A62&gt;DA$3,A62&gt;DA$6),AC61*(1+DH$1),A62&gt;DA$4,(AC61-CA61)*(1+DH$2),AND(A62&lt;=DA$3,A62&lt;=DA$4,A62&lt;=DA$6),(AC61*(1+DH$1))+(AC$4))</f>
        <v>0</v>
      </c>
      <c r="AD62" s="375"/>
      <c r="AE62" s="326" cm="1">
        <f t="array" ref="AE62">_xlfn.IFS(AND(A62&gt;DA$6,B62&gt;DB$6),0,AND(A62&gt;DA$4,B62&gt;DB$4),IF(AG61=0,0,(AE61-((AE61/AG61)*CA61))*(1+DH$2)),OR(B62&gt;DB$3,B62&gt;DB$6),AE61*(1+DH$1),B62&gt;DB$4,(AE61-CA61)*(1+DH$2),AND(B62&lt;=DB$3,B62&lt;=DB$4,B62&lt;=DB$6),(AE61*(1+DH$1))+(AE$4))</f>
        <v>0</v>
      </c>
      <c r="AF62" s="375"/>
      <c r="AG62" s="1">
        <f t="shared" si="61"/>
        <v>0</v>
      </c>
      <c r="AH62" s="2">
        <f t="shared" si="48"/>
        <v>0</v>
      </c>
      <c r="AI62" s="14">
        <f t="shared" si="38"/>
        <v>0</v>
      </c>
      <c r="AK62" s="1">
        <f t="shared" si="49"/>
        <v>0</v>
      </c>
      <c r="AL62" s="14">
        <f t="shared" si="39"/>
        <v>0</v>
      </c>
      <c r="AM62" s="14" t="str">
        <f t="shared" si="23"/>
        <v/>
      </c>
      <c r="AO62" s="15">
        <f t="shared" si="40"/>
        <v>0</v>
      </c>
      <c r="AP62" s="1">
        <f>IF(AND(B62&gt;=$DB$6,A62&gt;=$DA$6),0,AP61*(1+Lookups!C$12))</f>
        <v>0</v>
      </c>
      <c r="AQ62" s="1">
        <f>IF(AND(B62&gt;=$DB$6,A62&gt;=$DA$6),0,AQ61*(1+Lookups!C$12))</f>
        <v>0</v>
      </c>
      <c r="AS62" s="1" cm="1">
        <f t="array" ref="AS62">_xlfn.IFS(OR(AS$6="",AND(A62&gt;=DA$6,B62&gt;=DB$6),AND(A62&lt;DA$4,B62&lt;DB$4)),0,AND(A62=DA$4,DA$4&lt;=DB$4),AS$6,AND(B62=DB$4,DA$4&gt;=DB$4),AS$6,OR(A62&gt;DA$4,B62&gt;DB$4),AS61*(1+Setup!C$103))</f>
        <v>0</v>
      </c>
      <c r="AT62" s="1" cm="1">
        <f t="array" ref="AT62">_xlfn.IFS(OR(AT$6="",AND(A62&gt;=DA$6,B62&gt;=DB$6),AND(A62&lt;DA$4,B62&lt;DB$4)),0,AND(A62=DA$4,DA$4&lt;=DB$4),AT$6,AND(B62=DB$4,DA$4&gt;=DB$4),AT$6,OR(A62&gt;DA$4,B62&gt;DB$4),AT61*(1+Setup!C$103))</f>
        <v>0</v>
      </c>
      <c r="AU62" s="1" cm="1">
        <f t="array" ref="AU62">_xlfn.IFS(OR(AU$6="",AND(A62&gt;=DA$6,B62&gt;=DB$6),AND(A62&lt;DA$4,B62&lt;DB$4)),0,AND(A62=DA$4,DA$4&lt;=DB$4),AU$6,AND(B62=DB$4,DA$4&gt;=DB$4),AU$6,OR(A62&gt;DA$4,B62&gt;DB$4),AU61*(1+Setup!C$103))</f>
        <v>0</v>
      </c>
      <c r="AV62" s="1" cm="1">
        <f t="array" ref="AV62">_xlfn.IFS(OR(AV$6="",AND(A62&gt;=DA$6,B62&gt;=DB$6),AND(A62&lt;DA$4,B62&lt;DB$4)),0,AND(A62=DA$4,DA$4&lt;=DB$4),AV$6,AND(B62=DB$4,DA$4&gt;=DB$4),AV$6,OR(A62&gt;DA$4,B62&gt;DB$4),AV61*(1+Setup!C$103))</f>
        <v>0</v>
      </c>
      <c r="AW62" s="1">
        <f t="shared" si="41"/>
        <v>0</v>
      </c>
      <c r="AY62" s="1" cm="1">
        <f t="array" ref="AY62">_xlfn.IFS(OR(AND(A62&gt;=DA$6,B62&gt;=DB$6),A62&lt;DA$5),0,AND(A62=DA$5,YEAR(C62)&gt;=Lookups!D$89),VLOOKUP(A62,Lookups!B$94:F$102,3),AND(A62=DA$5,YEAR(C62)&lt;Lookups!D$89),VLOOKUP(A62,Lookups!B$94:F$102,2),AND(A62&gt;DA$5,YEAR(C62)=Lookups!D$89),(AY61*Lookups!D$90)*(1+Lookups!C$20),AND(A62&gt;DA$5,YEAR(C62)&lt;&gt;Lookups!D$89),AY61*(1+Lookups!C$20))</f>
        <v>0</v>
      </c>
      <c r="AZ62" s="1" cm="1">
        <f t="array" ref="AZ62">_xlfn.IFS(OR(ISBLANK(Setup!K$91),Setup!K$91=0,AND(A62&gt;=DA$6,B62&gt;=DB$6),B62&lt;DB$5),0,AND(B62=DB$5,YEAR(C62)&gt;=Lookups!D$89),VLOOKUP(B62,Lookups!B$94:F$102,5),AND(B62=DB$5,YEAR(C62)&lt;Lookups!D$89),VLOOKUP(B62,Lookups!B$94:F$102,4),AND(B62&gt;DB$5,YEAR(C62)=Lookups!D$89),(AZ61*Lookups!D$90)*(1+Lookups!C$20),AND(B62&gt;DB$5,YEAR(C62)&lt;&gt;Lookups!D$89),AZ61*(1+Lookups!C$20))</f>
        <v>0</v>
      </c>
      <c r="BA62" s="65">
        <f>IF(OR(AY62&gt;0,AZ62&gt;0),(AY62+AZ62)*Lookups!D$120,0)</f>
        <v>0</v>
      </c>
      <c r="BB62" s="1" cm="1">
        <f t="array" ref="BB62">_xlfn.IFS(AND(A62&lt;DA$4,B62&lt;DB$4),0,OR(_xlfn.XOR(A62&gt;DA$6,B62&gt;DB$6),_xlfn.XOR(A62&gt;=DA$4,B62&gt;=DB$4)),IF(AP62-SUM(AW62,AY62:AZ62)&gt;0,AP62-SUM(AW62,AY62:AZ62),0),AQ62-SUM(AW62,AY62:AZ62)&gt;0, AQ62-SUM(AW62,AY62:AZ62),AQ62-SUM(AW62,AY62:AZ62)&lt;=0,0)</f>
        <v>0</v>
      </c>
      <c r="BD62" s="1" cm="1">
        <f t="array" ref="BD62">_xlfn.IFS(AND(A62&gt;=DA$6,B62&gt;=DB$6),0,AND(A62&gt;=DA$6,B62&gt;=Lookups!C$35),D62/VLOOKUP(B62,Lookups!C$37:D$67,2),A62&lt;Lookups!$C$35,0,A62&gt;=Lookups!C$35,D62/VLOOKUP(A62,Lookups!C$37:D$67,2))</f>
        <v>0</v>
      </c>
      <c r="BE62" s="1" cm="1">
        <f t="array" ref="BE62">_xlfn.IFS(AND(A62&gt;=DA$6,B62&gt;=DB$6),0,AND(B62&gt;=DB$6,A62&gt;=Lookups!C$35),F62/VLOOKUP(A62,Lookups!C$37:D$67,2),B62&lt;Lookups!$C$35,0,B62&gt;=Lookups!C$35,F62/VLOOKUP(B62,Lookups!C$37:D$67,2))</f>
        <v>0</v>
      </c>
      <c r="BF62" s="1" cm="1">
        <f t="array" ref="BF62">_xlfn.IFS($BB62&lt;=0,0,AND(A62&gt;=DA$4,B62&gt;=DB$4,$BB62*I62&lt;(BD62+BE62)),0,AND(A62&gt;=DA$4,B62&gt;=DB$4,H62&gt;=(BB62*I62)-BD62-BE62),(BB62*I62)-BD62-BE62,AND(A62&gt;=DA$4,B62&gt;=DB$4,H62&lt;(BB62*I62)-BD62-BE62),H62,AND(A62&gt;=DA$4,$BB62*I62&lt;(BD62)),0,AND(A62&gt;=DA$4,H62&gt;=(BB62*I62)-BD62),(BB62*I62)-BD62,AND(A62&gt;=DA$4,H62&lt;(BB62*I62)-BD62),H62,AND(B62&gt;=DB$4,$BB62*I62&lt;(BE62)),0,AND(B62&gt;=DB$4,H62&gt;=(BB62*I62)-BE62),(BB62*I62)-BE62,AND(B62&gt;=DB$4,H62&lt;(BB62*I62)-BE62),H62)</f>
        <v>0</v>
      </c>
      <c r="BG62" s="1">
        <f t="shared" si="53"/>
        <v>0</v>
      </c>
      <c r="BH62" s="1" cm="1">
        <f t="array" ref="BH62">_xlfn.IFS(OR(D62=0,A62&lt;DA$4),0,AND(A62&gt;=DA$4,B62&gt;=DB$4,D62&lt;BD62+($BF62*(D62/$H62))+(-$BP62*(D62/$H62))),D62,AND(A62&gt;=DA$4,B62&gt;=DB$4,$BB62&gt;$BG62),BD62+($BF62*(D62/$H62))+(-$BP62*(D62/$H62)),AND(A62&gt;=DA$4,B62&gt;=DB$4,OR(A62&gt;DA$6, B62&gt;DB$6),$AP62-SUM($AW62,$AY62:$AZ62)&lt;0),BD62+($BF62*(D62/$H62))+(-$BP62*(D62/$H62))+(BP62*(D62/$H62)),AND(A62&gt;=DA$4,B62&gt;=DB$4,$AQ62-SUM($AW62,$AY62:$AZ62)&lt;0),BD62+($BF62*(D62/$H62))+(-$BP62*(D62/$H62))+(BP62*(D62/$H62)),AND(A62&gt;=DA$4,D62&lt;BD62+$BF62-$BP62),D62,AND(A62&gt;=DA$4,$AP62-SUM($AW62,$AY62:$AZ62)&lt;0),BD62+($BF62*(D62/$H62))+(-$BP62*(D62/$H62))+(BP62*(D62/$H62)),A62&gt;=DA$4,BD62+$BF62-$BP62)</f>
        <v>0</v>
      </c>
      <c r="BI62" s="1" cm="1">
        <f t="array" ref="BI62">_xlfn.IFS(OR(F62=0,B62&lt;DB$4),0,AND(A62&gt;=DA$4,B62&gt;=DB$4,F62&lt;BE62+($BF62*(F62/$H62))+(-$BP62*(F62/$H62))),F62,AND(A62&gt;=DA$4,B62&gt;=DB$4,$BB62&gt;$BG62),BE62+($BF62*(F62/$H62))+(-$BP62*(F62/$H62)),AND(A62&gt;=DA$4,B62&gt;=DB$4,OR(A62&gt;DA$6, B62&gt;DB$6),$AP62-SUM($AW62,$AY62:$AZ62)&lt;0),BE62+($BF62*(F62/$H62))+(-$BP62*(F62/$H62))+(BP62*(F62/$H62)),AND(A62&gt;=DA$4,B62&gt;=DB$4,$AQ62-SUM($AW62,$AY62:$AZ62)&lt;0),BE62+($BF62*(F62/$H62))+(-$BP62*(F62/$H62))+(BP62*(F62/$H62)),AND(B62&gt;=DB$4,F62&lt;BE62+$BF62-$BP62),F62,AND(B62&gt;=DB$4,$AP62-SUM($AW62,$AY62:$AZ62)&lt;0),BE62+($BF62*(F62/$H62))+(-$BP62*(F62/$H62))+(BP62*(F62/$H62)),B62&gt;=DB$4,BE62+$BF62-$BP62)</f>
        <v>0</v>
      </c>
      <c r="BJ62" s="64" cm="1">
        <f t="array" ref="BJ62">IF(AW62+BA62+BG62&gt;0, AW62+BA62+BG62-_xlfn.IFS(AND(A62&gt;=65,B62&gt;=65),VLOOKUP(Setup!I$4,Lookups!C$133:F$136,4),OR(A62&gt;=65,B62&gt;=65),VLOOKUP(Setup!I$4,Lookups!C$133:E$136,3),AND(A62&lt;65,B62&lt;65),VLOOKUP(Setup!I$4,Lookups!C$133:D$136,2)),0)</f>
        <v>0</v>
      </c>
      <c r="BK62" s="1" cm="1">
        <f t="array" ref="BK62">IF(BJ62&gt;0,_xlfn.IFS(Setup!I$4=Lookups!D$109,-_xlfn.IFS($BJ62&gt;=Lookups!D$157, Lookups!F$157+($BJ62-Lookups!D$157)*Lookups!G$157,$BJ62&gt;=Lookups!D$156, Lookups!F$156+($BJ62-Lookups!D$156)*Lookups!G$156,$BJ62&gt;=Lookups!D$155, Lookups!F$155+($BJ62-Lookups!D$155)*Lookups!G$155,$BJ62&gt;=Lookups!D$154, Lookups!F$154+($BJ62-Lookups!D$154)*Lookups!G$154,$BJ62&gt;=Lookups!D$153, Lookups!F$153+($BJ62-Lookups!D$153)*Lookups!G$153,$BJ62&gt;=Lookups!D$152, Lookups!F$152+($BJ62-Lookups!D$152)*Lookups!G$152,$BJ62&lt;Lookups!D$152,$BJ62*Lookups!G$151),Setup!I$4=Lookups!D$110,-_xlfn.IFS($BJ62&gt;=Lookups!D$167, Lookups!F$167+($BJ62-Lookups!D$167)*Lookups!G$167,$BJ62&gt;=Lookups!D$166, Lookups!F$166+($BJ62-Lookups!D$166)*Lookups!G$166,$BJ62&gt;=Lookups!D$165, Lookups!F$165+($BJ62-Lookups!D$165)*Lookups!G$165,$BJ62&gt;=Lookups!D$164, Lookups!F$164+($BJ62-Lookups!D$164)*Lookups!G$164,$BJ62&gt;=Lookups!D$163, Lookups!F$163+($BJ62-Lookups!D$163)*Lookups!G$163,$BJ62&gt;=Lookups!D$162, Lookups!F$162+($BJ62-Lookups!D$162)*Lookups!G$162,$BJ62&lt;Lookups!D$162,$BJ62*Lookups!G$161),Setup!I$4=Lookups!D$111,-_xlfn.IFS($BJ62&gt;=Lookups!D$177, Lookups!F$177+($BJ62-Lookups!D$177)*Lookups!G$177,$BJ62&gt;=Lookups!D$176, Lookups!F$176+($BJ62-Lookups!D$176)*Lookups!G$176,$BJ62&gt;=Lookups!D$175, Lookups!F$175+($BJ62-Lookups!D$175)*Lookups!G$175,$BJ62&gt;=Lookups!D$174, Lookups!F$174+($BJ62-Lookups!D$174)*Lookups!G$174,$BJ62&gt;=Lookups!D$173, Lookups!F$173+($BJ62-Lookups!D$173)*Lookups!G$173,$BJ62&gt;=Lookups!D$172, Lookups!F$172+($BJ62-Lookups!D$172)*Lookups!G$172,$BJ62&lt;Lookups!D$172,$BJ62*Lookups!G$171), Setup!I$4=Lookups!D$112,-_xlfn.IFS($BJ62&gt;=Lookups!D$187, Lookups!F$187+($BJ62-Lookups!D$187)*Lookups!G$187,$BJ62&gt;=Lookups!D$186, Lookups!F$186+($BJ62-Lookups!D$186)*Lookups!G$186,$BJ62&gt;=Lookups!D$185, Lookups!F$185+($BJ62-Lookups!D$185)*Lookups!G$185,$BJ62&gt;=Lookups!D$184, Lookups!F$184+($BJ62-Lookups!D$184)*Lookups!G$184,$BJ62&gt;=Lookups!D$183, Lookups!F$183+($BJ62-Lookups!D$183)*Lookups!G$183,$BJ62&gt;=Lookups!D$182, Lookups!F$182+($BJ62-Lookups!D$182)*Lookups!G$182,$BJ62&lt;Lookups!D$182,$BJ62*Lookups!G$181)),0)</f>
        <v>0</v>
      </c>
      <c r="BL62" s="18">
        <f t="shared" si="54"/>
        <v>0</v>
      </c>
      <c r="BM62" s="134">
        <f t="shared" si="55"/>
        <v>0</v>
      </c>
      <c r="BN62" s="134" cm="1">
        <f t="array" aca="1" ref="BN62" ca="1">INDIRECT(Setup!I$6&amp;"!"&amp;"A"&amp;ROW())</f>
        <v>0</v>
      </c>
      <c r="BO62" s="134">
        <f t="shared" si="56"/>
        <v>0</v>
      </c>
      <c r="BP62" s="1">
        <f t="shared" si="57"/>
        <v>0</v>
      </c>
      <c r="BQ62" s="1">
        <f t="shared" si="58"/>
        <v>0</v>
      </c>
      <c r="BS62" s="1">
        <f t="shared" si="50"/>
        <v>0</v>
      </c>
      <c r="BT62" s="1" cm="1">
        <f t="array" ref="BT62">-IF(BS62&gt;0,_xlfn.IFS((AW62+BA62+BG62+BS62)&gt;=VLOOKUP(Setup!I$4,Lookups!C$210:E$213,3),BS62*Lookups!D$203,(AW62+BA62+BG62+BS62)&gt;=VLOOKUP(Setup!I$4,Lookups!C$210:E$213,2),BS62*Lookups!D$197,(AW62+BA62+BG62+BS62)&lt;VLOOKUP(Setup!I$4,Lookups!C$210:E$213,2),0),0)</f>
        <v>0</v>
      </c>
      <c r="BU62" s="18">
        <f t="shared" si="51"/>
        <v>0</v>
      </c>
      <c r="BV62" s="1">
        <f t="shared" si="52"/>
        <v>0</v>
      </c>
      <c r="BW62" s="1" cm="1">
        <f t="array" aca="1" ref="BW62" ca="1">INDIRECT(Setup!I$6&amp;"!"&amp;"A"&amp;ROW()+100)</f>
        <v>0</v>
      </c>
      <c r="BX62" s="1">
        <f t="shared" ca="1" si="44"/>
        <v>0</v>
      </c>
      <c r="BY62" s="1">
        <f t="shared" ca="1" si="45"/>
        <v>0</v>
      </c>
      <c r="CA62" s="1">
        <f t="shared" si="59"/>
        <v>0</v>
      </c>
      <c r="CC62" s="1" cm="1">
        <f t="array" ref="CC62">_xlfn.IFS(AND(A62&lt;$DA$4,B62&lt;$DB$4),0,AND(AND(A62&gt;=$DA$4,B62&gt;=$DB$4),AND(A62&lt;=$DA$6,B62&lt;=$DB$6),AND(BH62=0,BI62=0)),SUM(AW62,AY62:AZ62,BD62:BF62,BP62,BS62,CA62)-AQ62,AND(AND(A62&gt;=$DA$4,B62&gt;=$DB$4),AND(A62&lt;=$DA$6,B62&lt;=$DB$6)),SUM(AW62,AY62:AZ62,BD62:BF62,BS62,CA62)-AQ62,AND(OR(A62&gt;=$DA$4,B62&gt;=$DB$4),AND(BH62=0,BI62=0)),SUM(AW62,AY62:AZ62,BD62:BF62,BP62,BS62,CA62)-AP62,OR(A62&gt;=$DA$4,B62&gt;=$DB$4),SUM(AW62,AY62:AZ62,BD62:BF62,BS62,CA62)-AP62)</f>
        <v>0</v>
      </c>
      <c r="CD62" s="142" t="str">
        <f t="shared" si="30"/>
        <v/>
      </c>
    </row>
    <row r="63" spans="1:82" x14ac:dyDescent="0.3">
      <c r="A63" s="354">
        <f t="shared" si="62"/>
        <v>56</v>
      </c>
      <c r="B63" s="354">
        <f t="shared" si="63"/>
        <v>56</v>
      </c>
      <c r="C63" s="359">
        <f t="shared" si="33"/>
        <v>20455</v>
      </c>
      <c r="D63" s="326" cm="1">
        <f t="array" ref="D63">_xlfn.IFS(AND(A63&gt;DA$6,B63&gt;DB$6),0,AND(A63&gt;DA$3,A63&lt;=DA$4),D62*(1+DH$1),OR(A63&gt;DA$6,A63&gt;DA$4),(D62-BH62)*(1+DH$2),A63&lt;=DA$4,(D62*(1+DH$1))+(D$4))</f>
        <v>0</v>
      </c>
      <c r="E63" s="375"/>
      <c r="F63" s="326" cm="1">
        <f t="array" ref="F63">_xlfn.IFS(AND(A63&gt;DA$6,B63&gt;DB$6),0,AND(B63&gt;DB$3,B63&lt;=DB$4),F62*(1+DH$1),OR(B63&gt;DB$6,B63&gt;DB$4),(F62-BI62)*(1+DH$2),B63&lt;=DB$4,(F62*(1+DH$1))+(F$4))</f>
        <v>0</v>
      </c>
      <c r="G63" s="375"/>
      <c r="H63" s="1">
        <f t="shared" si="60"/>
        <v>0</v>
      </c>
      <c r="I63" s="2">
        <f t="shared" si="36"/>
        <v>0</v>
      </c>
      <c r="J63" s="14">
        <f t="shared" si="64"/>
        <v>0</v>
      </c>
      <c r="L63" s="402" cm="1">
        <f t="array" ref="L63">_xlfn.IFS(AND(A63&gt;DA$6,B63&gt;DB$6),0,A63&lt;DA$6,0,A63=DA$6,L$4,AND(A63&gt;DA$6,B63&lt;=DB$4),L62*(1+DH$1),AND(A63&gt;DA$6,B63&gt;DB$4),IF(Y62=0,0,(L62-((L62/Y62)*BY62))*(1+DH$2)))</f>
        <v>0</v>
      </c>
      <c r="M63" s="402" cm="1">
        <f t="array" ref="M63">_xlfn.IFS(AND(A63&gt;DA$6,B63&gt;DB$6),0,B63&lt;DB$6,0,B63=DB$6,M$4,AND(B63&gt;DB$6,A63&lt;=DA$4),M62*(1+DH$1),AND(A63&gt;DA$4,B63&gt;DB$6),IF(Y62=0,0,(M62-((M62/Y62)*BY62))*(1+DH$2)))</f>
        <v>0</v>
      </c>
      <c r="N63" s="327"/>
      <c r="O63" s="327" cm="1">
        <f t="array" ref="O63">_xlfn.IFS(OR(ISBLANK(Setup!C$63),Setup!C$63&gt;YEAR(C63),AND(A63&gt;DA$6,B63&gt;DB$6),ISBLANK(Y62)),0,Setup!C$63=YEAR(C63),Setup!C$62,AND(OR(A63&lt;=DA$4,B63&lt;=DB$4),Setup!C$63&lt;YEAR(C63)),O62*(1+DH$1),AND(A63&gt;DA$4,B63&gt;DB$4,Setup!C$63&lt;YEAR(C63)),IF(Y62=0,0,(O62-((O62/Y62)*BY62))*(1+DH$2)))</f>
        <v>0</v>
      </c>
      <c r="P63" s="327" cm="1">
        <f t="array" ref="P63">_xlfn.IFS(OR(ISBLANK(Setup!C$67),Setup!C$67&gt;YEAR(C63),AND(A63&gt;DA$6,B63&gt;DB$6)),0,Setup!C$67=YEAR(C63),Setup!C$66,AND(OR(A63&lt;=DA$4,B63&lt;=DB$4),Setup!C$67&lt;YEAR(C63)),P62*(1+DH$1),AND(A63&gt;DA$4,B63&gt;DB$4,Setup!C$67&lt;YEAR(C63)),IF(Y62=0,0,(P62-((P62/Y62)*BY62))*(1+DH$2)))</f>
        <v>0</v>
      </c>
      <c r="Q63" s="327" cm="1">
        <f t="array" ref="Q63">_xlfn.IFS(OR(ISBLANK(Setup!C$71),Setup!C$71&gt;YEAR(C63),AND(A63&gt;DA$6,B63&gt;DB$6)),0,Setup!C$71=YEAR(C63),Setup!C$70,AND(OR(A63&lt;=DA$4,B63&lt;=DB$4),Setup!C$71&lt;YEAR(C63)),Q62*(1+DH$1),AND(A63&gt;DA$4,B63&gt;DB$4,Setup!C$71&lt;YEAR(C63)),IF(Y62=0,0,(Q62-((Q62/Y62)*BY62))*(1+DH$2)))</f>
        <v>0</v>
      </c>
      <c r="R63" s="327" cm="1">
        <f t="array" ref="R63">_xlfn.IFS(OR(ISBLANK(Setup!C$75),Setup!C$75&gt;YEAR(C63),AND(A63&gt;DA$6,B63&gt;DB$6)),0,Setup!C$75=YEAR(C63),Setup!C$74,AND(OR(A63&lt;=DA$4,B63&lt;=DB$4),Setup!C$75&lt;YEAR(C63)),R62*(1+DH$1),AND(A63&gt;DA$4,B63&gt;DB$4,Setup!C$75&lt;YEAR(C63)),IF(Y62=0,0,(R62-((R62/Y62)*BY62))*(1+DH$2)))</f>
        <v>0</v>
      </c>
      <c r="S63" s="327"/>
      <c r="T63" s="326" cm="1">
        <f t="array" ref="T63">_xlfn.IFS(AND($A63&gt;$DA$6,$B63&gt;$DB$6),0,AND($W$2=$DA$2,$A63&gt;$DA$4),IF($Y62=0,0,(T62-((T62/$Y62)*$BY62))*(1+$DH$2)),AND($W$2=$DB$2,$B63&gt;$DB$4),IF($Y62=0,0,(T62-((T62/$Y62)*$BY62))*(1+$DH$2)),AND($W$2=$DA$2,OR($A63&gt;$DA$3,$A63&gt;$DA$6)),(T62*(1+$DH$1)),AND($W$2=$DB$2,OR($B63&gt;$DB$3,$B63&gt;$DB$6)),(T62*(1+$DH$1)),AND($W$2=$DA$2,$A63&lt;=$DA$3,$A63&lt;=$DA$4,$A63&lt;=$DA$5),(T62*(1+$DH$1))+(T$4),AND($W$2=$DB$2,$B63&lt;=$DB$3,$B63&lt;=$DB$4,$B63&lt;=$DB$5),(T62*(1+$DH$1))+(T$4))</f>
        <v>0</v>
      </c>
      <c r="U63" s="326" cm="1">
        <f t="array" ref="U63">_xlfn.IFS(AND($A63&gt;$DA$6,$B63&gt;$DB$6),0,AND($W$2=$DA$2,$A63&gt;$DA$4),IF($Y62=0,0,(U62-((U62/$Y62)*$BY62))*(1+$DH$2)),AND($W$2=$DB$2,$B63&gt;$DB$4),IF($Y62=0,0,(U62-((U62/$Y62)*$BY62))*(1+$DH$2)),AND($W$2=$DA$2,OR($A63&gt;$DA$3,$A63&gt;$DA$6)),(U62*(1+$DH$1)),AND($W$2=$DB$2,OR($B63&gt;$DB$3,$B63&gt;$DB$6)),(U62*(1+$DH$1)),AND($W$2=$DA$2,$A63&lt;=$DA$3,$A63&lt;=$DA$4,$A63&lt;=$DA$5),(U62*(1+$DH$1))+(U$4),AND($W$2=$DB$2,$B63&lt;=$DB$3,$B63&lt;=$DB$4,$B63&lt;=$DB$5),(U62*(1+$DH$1))+(U$4))</f>
        <v>0</v>
      </c>
      <c r="V63" s="326" cm="1">
        <f t="array" ref="V63">_xlfn.IFS(AND($A63&gt;$DA$6,$B63&gt;$DB$6),0,AND($W$2=$DA$2,$A63&gt;$DA$4),IF($Y62=0,0,(V62-((V62/$Y62)*$BY62))*(1+$DH$2)),AND($W$2=$DB$2,$B63&gt;$DB$4),IF($Y62=0,0,(V62-((V62/$Y62)*$BY62))*(1+$DH$2)),AND($W$2=$DA$2,OR($A63&gt;$DA$3,$A63&gt;$DA$6)),(V62*(1+$DH$1)),AND($W$2=$DB$2,OR($B63&gt;$DB$3,$B63&gt;$DB$6)),(V62*(1+$DH$1)),AND($W$2=$DA$2,$A63&lt;=$DA$3,$A63&lt;=$DA$4,$A63&lt;=$DA$5),(V62*(1+$DH$1))+(V$4),AND($W$2=$DB$2,$B63&lt;=$DB$3,$B63&lt;=$DB$4,$B63&lt;=$DB$5),(V62*(1+$DH$1))+(V$4))</f>
        <v>0</v>
      </c>
      <c r="W63" s="326" cm="1">
        <f t="array" ref="W63">_xlfn.IFS(AND($A63&gt;$DA$6,$B63&gt;$DB$6),0,AND($W$2=$DA$2,$A63&gt;$DA$4),IF($Y62=0,0,(W62-((W62/$Y62)*$BY62))*(1+$DH$2)),AND($W$2=$DB$2,$B63&gt;$DB$4),IF($Y62=0,0,(W62-((W62/$Y62)*$BY62))*(1+$DH$2)),AND($W$2=$DA$2,OR($A63&gt;$DA$3,$A63&gt;$DA$6)),(W62*(1+$DH$1)),AND($W$2=$DB$2,OR($B63&gt;$DB$3,$B63&gt;$DB$6)),(W62*(1+$DH$1)),AND($W$2=$DA$2,$A63&lt;=$DA$3,$A63&lt;=$DA$4,$A63&lt;=$DA$5),(W62*(1+$DH$1))+(W$4),AND($W$2=$DB$2,$B63&lt;=$DB$3,$B63&lt;=$DB$4,$B63&lt;=$DB$5),(W62*(1+$DH$1))+(W$4))</f>
        <v>0</v>
      </c>
      <c r="Y63" s="1">
        <f t="shared" si="47"/>
        <v>0</v>
      </c>
      <c r="Z63" s="2">
        <f t="shared" si="37"/>
        <v>0</v>
      </c>
      <c r="AA63" s="375"/>
      <c r="AC63" s="326" cm="1">
        <f t="array" ref="AC63">_xlfn.IFS(AND(A63&gt;DA$6,B63&gt;DB$6),0,AND(A63&gt;DA$4,B63&gt;DB$4),IF(AG62=0,0,(AC62-((AC62/AG62)*CA62))*(1+DH$2)),OR(A63&gt;DA$3,A63&gt;DA$6),AC62*(1+DH$1),A63&gt;DA$4,(AC62-CA62)*(1+DH$2),AND(A63&lt;=DA$3,A63&lt;=DA$4,A63&lt;=DA$6),(AC62*(1+DH$1))+(AC$4))</f>
        <v>0</v>
      </c>
      <c r="AD63" s="375"/>
      <c r="AE63" s="326" cm="1">
        <f t="array" ref="AE63">_xlfn.IFS(AND(A63&gt;DA$6,B63&gt;DB$6),0,AND(A63&gt;DA$4,B63&gt;DB$4),IF(AG62=0,0,(AE62-((AE62/AG62)*CA62))*(1+DH$2)),OR(B63&gt;DB$3,B63&gt;DB$6),AE62*(1+DH$1),B63&gt;DB$4,(AE62-CA62)*(1+DH$2),AND(B63&lt;=DB$3,B63&lt;=DB$4,B63&lt;=DB$6),(AE62*(1+DH$1))+(AE$4))</f>
        <v>0</v>
      </c>
      <c r="AF63" s="375"/>
      <c r="AG63" s="1">
        <f t="shared" si="61"/>
        <v>0</v>
      </c>
      <c r="AH63" s="2">
        <f t="shared" si="48"/>
        <v>0</v>
      </c>
      <c r="AI63" s="14">
        <f t="shared" si="38"/>
        <v>0</v>
      </c>
      <c r="AK63" s="1">
        <f t="shared" si="49"/>
        <v>0</v>
      </c>
      <c r="AL63" s="14">
        <f t="shared" si="39"/>
        <v>0</v>
      </c>
      <c r="AM63" s="14" t="str">
        <f t="shared" si="23"/>
        <v/>
      </c>
      <c r="AO63" s="15">
        <f t="shared" si="40"/>
        <v>0</v>
      </c>
      <c r="AP63" s="1">
        <f>IF(AND(B63&gt;=$DB$6,A63&gt;=$DA$6),0,AP62*(1+Lookups!C$12))</f>
        <v>0</v>
      </c>
      <c r="AQ63" s="1">
        <f>IF(AND(B63&gt;=$DB$6,A63&gt;=$DA$6),0,AQ62*(1+Lookups!C$12))</f>
        <v>0</v>
      </c>
      <c r="AS63" s="1" cm="1">
        <f t="array" ref="AS63">_xlfn.IFS(OR(AS$6="",AND(A63&gt;=DA$6,B63&gt;=DB$6),AND(A63&lt;DA$4,B63&lt;DB$4)),0,AND(A63=DA$4,DA$4&lt;=DB$4),AS$6,AND(B63=DB$4,DA$4&gt;=DB$4),AS$6,OR(A63&gt;DA$4,B63&gt;DB$4),AS62*(1+Setup!C$103))</f>
        <v>0</v>
      </c>
      <c r="AT63" s="1" cm="1">
        <f t="array" ref="AT63">_xlfn.IFS(OR(AT$6="",AND(A63&gt;=DA$6,B63&gt;=DB$6),AND(A63&lt;DA$4,B63&lt;DB$4)),0,AND(A63=DA$4,DA$4&lt;=DB$4),AT$6,AND(B63=DB$4,DA$4&gt;=DB$4),AT$6,OR(A63&gt;DA$4,B63&gt;DB$4),AT62*(1+Setup!C$103))</f>
        <v>0</v>
      </c>
      <c r="AU63" s="1" cm="1">
        <f t="array" ref="AU63">_xlfn.IFS(OR(AU$6="",AND(A63&gt;=DA$6,B63&gt;=DB$6),AND(A63&lt;DA$4,B63&lt;DB$4)),0,AND(A63=DA$4,DA$4&lt;=DB$4),AU$6,AND(B63=DB$4,DA$4&gt;=DB$4),AU$6,OR(A63&gt;DA$4,B63&gt;DB$4),AU62*(1+Setup!C$103))</f>
        <v>0</v>
      </c>
      <c r="AV63" s="1" cm="1">
        <f t="array" ref="AV63">_xlfn.IFS(OR(AV$6="",AND(A63&gt;=DA$6,B63&gt;=DB$6),AND(A63&lt;DA$4,B63&lt;DB$4)),0,AND(A63=DA$4,DA$4&lt;=DB$4),AV$6,AND(B63=DB$4,DA$4&gt;=DB$4),AV$6,OR(A63&gt;DA$4,B63&gt;DB$4),AV62*(1+Setup!C$103))</f>
        <v>0</v>
      </c>
      <c r="AW63" s="1">
        <f t="shared" si="41"/>
        <v>0</v>
      </c>
      <c r="AY63" s="1" cm="1">
        <f t="array" ref="AY63">_xlfn.IFS(OR(AND(A63&gt;=DA$6,B63&gt;=DB$6),A63&lt;DA$5),0,AND(A63=DA$5,YEAR(C63)&gt;=Lookups!D$89),VLOOKUP(A63,Lookups!B$94:F$102,3),AND(A63=DA$5,YEAR(C63)&lt;Lookups!D$89),VLOOKUP(A63,Lookups!B$94:F$102,2),AND(A63&gt;DA$5,YEAR(C63)=Lookups!D$89),(AY62*Lookups!D$90)*(1+Lookups!C$20),AND(A63&gt;DA$5,YEAR(C63)&lt;&gt;Lookups!D$89),AY62*(1+Lookups!C$20))</f>
        <v>0</v>
      </c>
      <c r="AZ63" s="1" cm="1">
        <f t="array" ref="AZ63">_xlfn.IFS(OR(ISBLANK(Setup!K$91),Setup!K$91=0,AND(A63&gt;=DA$6,B63&gt;=DB$6),B63&lt;DB$5),0,AND(B63=DB$5,YEAR(C63)&gt;=Lookups!D$89),VLOOKUP(B63,Lookups!B$94:F$102,5),AND(B63=DB$5,YEAR(C63)&lt;Lookups!D$89),VLOOKUP(B63,Lookups!B$94:F$102,4),AND(B63&gt;DB$5,YEAR(C63)=Lookups!D$89),(AZ62*Lookups!D$90)*(1+Lookups!C$20),AND(B63&gt;DB$5,YEAR(C63)&lt;&gt;Lookups!D$89),AZ62*(1+Lookups!C$20))</f>
        <v>0</v>
      </c>
      <c r="BA63" s="65">
        <f>IF(OR(AY63&gt;0,AZ63&gt;0),(AY63+AZ63)*Lookups!D$120,0)</f>
        <v>0</v>
      </c>
      <c r="BB63" s="1" cm="1">
        <f t="array" ref="BB63">_xlfn.IFS(AND(A63&lt;DA$4,B63&lt;DB$4),0,OR(_xlfn.XOR(A63&gt;DA$6,B63&gt;DB$6),_xlfn.XOR(A63&gt;=DA$4,B63&gt;=DB$4)),IF(AP63-SUM(AW63,AY63:AZ63)&gt;0,AP63-SUM(AW63,AY63:AZ63),0),AQ63-SUM(AW63,AY63:AZ63)&gt;0, AQ63-SUM(AW63,AY63:AZ63),AQ63-SUM(AW63,AY63:AZ63)&lt;=0,0)</f>
        <v>0</v>
      </c>
      <c r="BD63" s="1" cm="1">
        <f t="array" ref="BD63">_xlfn.IFS(AND(A63&gt;=DA$6,B63&gt;=DB$6),0,AND(A63&gt;=DA$6,B63&gt;=Lookups!C$35),D63/VLOOKUP(B63,Lookups!C$37:D$67,2),A63&lt;Lookups!$C$35,0,A63&gt;=Lookups!C$35,D63/VLOOKUP(A63,Lookups!C$37:D$67,2))</f>
        <v>0</v>
      </c>
      <c r="BE63" s="1" cm="1">
        <f t="array" ref="BE63">_xlfn.IFS(AND(A63&gt;=DA$6,B63&gt;=DB$6),0,AND(B63&gt;=DB$6,A63&gt;=Lookups!C$35),F63/VLOOKUP(A63,Lookups!C$37:D$67,2),B63&lt;Lookups!$C$35,0,B63&gt;=Lookups!C$35,F63/VLOOKUP(B63,Lookups!C$37:D$67,2))</f>
        <v>0</v>
      </c>
      <c r="BF63" s="1" cm="1">
        <f t="array" ref="BF63">_xlfn.IFS($BB63&lt;=0,0,AND(A63&gt;=DA$4,B63&gt;=DB$4,$BB63*I63&lt;(BD63+BE63)),0,AND(A63&gt;=DA$4,B63&gt;=DB$4,H63&gt;=(BB63*I63)-BD63-BE63),(BB63*I63)-BD63-BE63,AND(A63&gt;=DA$4,B63&gt;=DB$4,H63&lt;(BB63*I63)-BD63-BE63),H63,AND(A63&gt;=DA$4,$BB63*I63&lt;(BD63)),0,AND(A63&gt;=DA$4,H63&gt;=(BB63*I63)-BD63),(BB63*I63)-BD63,AND(A63&gt;=DA$4,H63&lt;(BB63*I63)-BD63),H63,AND(B63&gt;=DB$4,$BB63*I63&lt;(BE63)),0,AND(B63&gt;=DB$4,H63&gt;=(BB63*I63)-BE63),(BB63*I63)-BE63,AND(B63&gt;=DB$4,H63&lt;(BB63*I63)-BE63),H63)</f>
        <v>0</v>
      </c>
      <c r="BG63" s="1">
        <f t="shared" si="53"/>
        <v>0</v>
      </c>
      <c r="BH63" s="1" cm="1">
        <f t="array" ref="BH63">_xlfn.IFS(OR(D63=0,A63&lt;DA$4),0,AND(A63&gt;=DA$4,B63&gt;=DB$4,D63&lt;BD63+($BF63*(D63/$H63))+(-$BP63*(D63/$H63))),D63,AND(A63&gt;=DA$4,B63&gt;=DB$4,$BB63&gt;$BG63),BD63+($BF63*(D63/$H63))+(-$BP63*(D63/$H63)),AND(A63&gt;=DA$4,B63&gt;=DB$4,OR(A63&gt;DA$6, B63&gt;DB$6),$AP63-SUM($AW63,$AY63:$AZ63)&lt;0),BD63+($BF63*(D63/$H63))+(-$BP63*(D63/$H63))+(BP63*(D63/$H63)),AND(A63&gt;=DA$4,B63&gt;=DB$4,$AQ63-SUM($AW63,$AY63:$AZ63)&lt;0),BD63+($BF63*(D63/$H63))+(-$BP63*(D63/$H63))+(BP63*(D63/$H63)),AND(A63&gt;=DA$4,D63&lt;BD63+$BF63-$BP63),D63,AND(A63&gt;=DA$4,$AP63-SUM($AW63,$AY63:$AZ63)&lt;0),BD63+($BF63*(D63/$H63))+(-$BP63*(D63/$H63))+(BP63*(D63/$H63)),A63&gt;=DA$4,BD63+$BF63-$BP63)</f>
        <v>0</v>
      </c>
      <c r="BI63" s="1" cm="1">
        <f t="array" ref="BI63">_xlfn.IFS(OR(F63=0,B63&lt;DB$4),0,AND(A63&gt;=DA$4,B63&gt;=DB$4,F63&lt;BE63+($BF63*(F63/$H63))+(-$BP63*(F63/$H63))),F63,AND(A63&gt;=DA$4,B63&gt;=DB$4,$BB63&gt;$BG63),BE63+($BF63*(F63/$H63))+(-$BP63*(F63/$H63)),AND(A63&gt;=DA$4,B63&gt;=DB$4,OR(A63&gt;DA$6, B63&gt;DB$6),$AP63-SUM($AW63,$AY63:$AZ63)&lt;0),BE63+($BF63*(F63/$H63))+(-$BP63*(F63/$H63))+(BP63*(F63/$H63)),AND(A63&gt;=DA$4,B63&gt;=DB$4,$AQ63-SUM($AW63,$AY63:$AZ63)&lt;0),BE63+($BF63*(F63/$H63))+(-$BP63*(F63/$H63))+(BP63*(F63/$H63)),AND(B63&gt;=DB$4,F63&lt;BE63+$BF63-$BP63),F63,AND(B63&gt;=DB$4,$AP63-SUM($AW63,$AY63:$AZ63)&lt;0),BE63+($BF63*(F63/$H63))+(-$BP63*(F63/$H63))+(BP63*(F63/$H63)),B63&gt;=DB$4,BE63+$BF63-$BP63)</f>
        <v>0</v>
      </c>
      <c r="BJ63" s="64" cm="1">
        <f t="array" ref="BJ63">IF(AW63+BA63+BG63&gt;0, AW63+BA63+BG63-_xlfn.IFS(AND(A63&gt;=65,B63&gt;=65),VLOOKUP(Setup!I$4,Lookups!C$133:F$136,4),OR(A63&gt;=65,B63&gt;=65),VLOOKUP(Setup!I$4,Lookups!C$133:E$136,3),AND(A63&lt;65,B63&lt;65),VLOOKUP(Setup!I$4,Lookups!C$133:D$136,2)),0)</f>
        <v>0</v>
      </c>
      <c r="BK63" s="1" cm="1">
        <f t="array" ref="BK63">IF(BJ63&gt;0,_xlfn.IFS(Setup!I$4=Lookups!D$109,-_xlfn.IFS($BJ63&gt;=Lookups!D$157, Lookups!F$157+($BJ63-Lookups!D$157)*Lookups!G$157,$BJ63&gt;=Lookups!D$156, Lookups!F$156+($BJ63-Lookups!D$156)*Lookups!G$156,$BJ63&gt;=Lookups!D$155, Lookups!F$155+($BJ63-Lookups!D$155)*Lookups!G$155,$BJ63&gt;=Lookups!D$154, Lookups!F$154+($BJ63-Lookups!D$154)*Lookups!G$154,$BJ63&gt;=Lookups!D$153, Lookups!F$153+($BJ63-Lookups!D$153)*Lookups!G$153,$BJ63&gt;=Lookups!D$152, Lookups!F$152+($BJ63-Lookups!D$152)*Lookups!G$152,$BJ63&lt;Lookups!D$152,$BJ63*Lookups!G$151),Setup!I$4=Lookups!D$110,-_xlfn.IFS($BJ63&gt;=Lookups!D$167, Lookups!F$167+($BJ63-Lookups!D$167)*Lookups!G$167,$BJ63&gt;=Lookups!D$166, Lookups!F$166+($BJ63-Lookups!D$166)*Lookups!G$166,$BJ63&gt;=Lookups!D$165, Lookups!F$165+($BJ63-Lookups!D$165)*Lookups!G$165,$BJ63&gt;=Lookups!D$164, Lookups!F$164+($BJ63-Lookups!D$164)*Lookups!G$164,$BJ63&gt;=Lookups!D$163, Lookups!F$163+($BJ63-Lookups!D$163)*Lookups!G$163,$BJ63&gt;=Lookups!D$162, Lookups!F$162+($BJ63-Lookups!D$162)*Lookups!G$162,$BJ63&lt;Lookups!D$162,$BJ63*Lookups!G$161),Setup!I$4=Lookups!D$111,-_xlfn.IFS($BJ63&gt;=Lookups!D$177, Lookups!F$177+($BJ63-Lookups!D$177)*Lookups!G$177,$BJ63&gt;=Lookups!D$176, Lookups!F$176+($BJ63-Lookups!D$176)*Lookups!G$176,$BJ63&gt;=Lookups!D$175, Lookups!F$175+($BJ63-Lookups!D$175)*Lookups!G$175,$BJ63&gt;=Lookups!D$174, Lookups!F$174+($BJ63-Lookups!D$174)*Lookups!G$174,$BJ63&gt;=Lookups!D$173, Lookups!F$173+($BJ63-Lookups!D$173)*Lookups!G$173,$BJ63&gt;=Lookups!D$172, Lookups!F$172+($BJ63-Lookups!D$172)*Lookups!G$172,$BJ63&lt;Lookups!D$172,$BJ63*Lookups!G$171), Setup!I$4=Lookups!D$112,-_xlfn.IFS($BJ63&gt;=Lookups!D$187, Lookups!F$187+($BJ63-Lookups!D$187)*Lookups!G$187,$BJ63&gt;=Lookups!D$186, Lookups!F$186+($BJ63-Lookups!D$186)*Lookups!G$186,$BJ63&gt;=Lookups!D$185, Lookups!F$185+($BJ63-Lookups!D$185)*Lookups!G$185,$BJ63&gt;=Lookups!D$184, Lookups!F$184+($BJ63-Lookups!D$184)*Lookups!G$184,$BJ63&gt;=Lookups!D$183, Lookups!F$183+($BJ63-Lookups!D$183)*Lookups!G$183,$BJ63&gt;=Lookups!D$182, Lookups!F$182+($BJ63-Lookups!D$182)*Lookups!G$182,$BJ63&lt;Lookups!D$182,$BJ63*Lookups!G$181)),0)</f>
        <v>0</v>
      </c>
      <c r="BL63" s="18">
        <f t="shared" si="54"/>
        <v>0</v>
      </c>
      <c r="BM63" s="134">
        <f t="shared" si="55"/>
        <v>0</v>
      </c>
      <c r="BN63" s="134" cm="1">
        <f t="array" aca="1" ref="BN63" ca="1">INDIRECT(Setup!I$6&amp;"!"&amp;"A"&amp;ROW())</f>
        <v>0</v>
      </c>
      <c r="BO63" s="134">
        <f t="shared" si="56"/>
        <v>0</v>
      </c>
      <c r="BP63" s="1">
        <f t="shared" si="57"/>
        <v>0</v>
      </c>
      <c r="BQ63" s="1">
        <f t="shared" si="58"/>
        <v>0</v>
      </c>
      <c r="BS63" s="1">
        <f t="shared" si="50"/>
        <v>0</v>
      </c>
      <c r="BT63" s="1" cm="1">
        <f t="array" ref="BT63">-IF(BS63&gt;0,_xlfn.IFS((AW63+BA63+BG63+BS63)&gt;=VLOOKUP(Setup!I$4,Lookups!C$210:E$213,3),BS63*Lookups!D$203,(AW63+BA63+BG63+BS63)&gt;=VLOOKUP(Setup!I$4,Lookups!C$210:E$213,2),BS63*Lookups!D$197,(AW63+BA63+BG63+BS63)&lt;VLOOKUP(Setup!I$4,Lookups!C$210:E$213,2),0),0)</f>
        <v>0</v>
      </c>
      <c r="BU63" s="18">
        <f t="shared" si="51"/>
        <v>0</v>
      </c>
      <c r="BV63" s="1">
        <f t="shared" si="52"/>
        <v>0</v>
      </c>
      <c r="BW63" s="1" cm="1">
        <f t="array" aca="1" ref="BW63" ca="1">INDIRECT(Setup!I$6&amp;"!"&amp;"A"&amp;ROW()+100)</f>
        <v>0</v>
      </c>
      <c r="BX63" s="1">
        <f t="shared" ca="1" si="44"/>
        <v>0</v>
      </c>
      <c r="BY63" s="1">
        <f t="shared" ca="1" si="45"/>
        <v>0</v>
      </c>
      <c r="CA63" s="1">
        <f t="shared" si="59"/>
        <v>0</v>
      </c>
      <c r="CC63" s="1" cm="1">
        <f t="array" ref="CC63">_xlfn.IFS(AND(A63&lt;$DA$4,B63&lt;$DB$4),0,AND(AND(A63&gt;=$DA$4,B63&gt;=$DB$4),AND(A63&lt;=$DA$6,B63&lt;=$DB$6),AND(BH63=0,BI63=0)),SUM(AW63,AY63:AZ63,BD63:BF63,BP63,BS63,CA63)-AQ63,AND(AND(A63&gt;=$DA$4,B63&gt;=$DB$4),AND(A63&lt;=$DA$6,B63&lt;=$DB$6)),SUM(AW63,AY63:AZ63,BD63:BF63,BS63,CA63)-AQ63,AND(OR(A63&gt;=$DA$4,B63&gt;=$DB$4),AND(BH63=0,BI63=0)),SUM(AW63,AY63:AZ63,BD63:BF63,BP63,BS63,CA63)-AP63,OR(A63&gt;=$DA$4,B63&gt;=$DB$4),SUM(AW63,AY63:AZ63,BD63:BF63,BS63,CA63)-AP63)</f>
        <v>0</v>
      </c>
      <c r="CD63" s="142" t="str">
        <f t="shared" si="30"/>
        <v/>
      </c>
    </row>
    <row r="64" spans="1:82" x14ac:dyDescent="0.3">
      <c r="A64" s="354">
        <f t="shared" si="62"/>
        <v>57</v>
      </c>
      <c r="B64" s="354">
        <f t="shared" si="63"/>
        <v>57</v>
      </c>
      <c r="C64" s="359">
        <f t="shared" si="33"/>
        <v>20821</v>
      </c>
      <c r="D64" s="326" cm="1">
        <f t="array" ref="D64">_xlfn.IFS(AND(A64&gt;DA$6,B64&gt;DB$6),0,AND(A64&gt;DA$3,A64&lt;=DA$4),D63*(1+DH$1),OR(A64&gt;DA$6,A64&gt;DA$4),(D63-BH63)*(1+DH$2),A64&lt;=DA$4,(D63*(1+DH$1))+(D$4))</f>
        <v>0</v>
      </c>
      <c r="E64" s="375"/>
      <c r="F64" s="326" cm="1">
        <f t="array" ref="F64">_xlfn.IFS(AND(A64&gt;DA$6,B64&gt;DB$6),0,AND(B64&gt;DB$3,B64&lt;=DB$4),F63*(1+DH$1),OR(B64&gt;DB$6,B64&gt;DB$4),(F63-BI63)*(1+DH$2),B64&lt;=DB$4,(F63*(1+DH$1))+(F$4))</f>
        <v>0</v>
      </c>
      <c r="G64" s="375"/>
      <c r="H64" s="1">
        <f t="shared" si="60"/>
        <v>0</v>
      </c>
      <c r="I64" s="2">
        <f t="shared" si="36"/>
        <v>0</v>
      </c>
      <c r="J64" s="14">
        <f t="shared" si="64"/>
        <v>0</v>
      </c>
      <c r="L64" s="402" cm="1">
        <f t="array" ref="L64">_xlfn.IFS(AND(A64&gt;DA$6,B64&gt;DB$6),0,A64&lt;DA$6,0,A64=DA$6,L$4,AND(A64&gt;DA$6,B64&lt;=DB$4),L63*(1+DH$1),AND(A64&gt;DA$6,B64&gt;DB$4),IF(Y63=0,0,(L63-((L63/Y63)*BY63))*(1+DH$2)))</f>
        <v>0</v>
      </c>
      <c r="M64" s="402" cm="1">
        <f t="array" ref="M64">_xlfn.IFS(AND(A64&gt;DA$6,B64&gt;DB$6),0,B64&lt;DB$6,0,B64=DB$6,M$4,AND(B64&gt;DB$6,A64&lt;=DA$4),M63*(1+DH$1),AND(A64&gt;DA$4,B64&gt;DB$6),IF(Y63=0,0,(M63-((M63/Y63)*BY63))*(1+DH$2)))</f>
        <v>0</v>
      </c>
      <c r="N64" s="327"/>
      <c r="O64" s="327" cm="1">
        <f t="array" ref="O64">_xlfn.IFS(OR(ISBLANK(Setup!C$63),Setup!C$63&gt;YEAR(C64),AND(A64&gt;DA$6,B64&gt;DB$6),ISBLANK(Y63)),0,Setup!C$63=YEAR(C64),Setup!C$62,AND(OR(A64&lt;=DA$4,B64&lt;=DB$4),Setup!C$63&lt;YEAR(C64)),O63*(1+DH$1),AND(A64&gt;DA$4,B64&gt;DB$4,Setup!C$63&lt;YEAR(C64)),IF(Y63=0,0,(O63-((O63/Y63)*BY63))*(1+DH$2)))</f>
        <v>0</v>
      </c>
      <c r="P64" s="327" cm="1">
        <f t="array" ref="P64">_xlfn.IFS(OR(ISBLANK(Setup!C$67),Setup!C$67&gt;YEAR(C64),AND(A64&gt;DA$6,B64&gt;DB$6)),0,Setup!C$67=YEAR(C64),Setup!C$66,AND(OR(A64&lt;=DA$4,B64&lt;=DB$4),Setup!C$67&lt;YEAR(C64)),P63*(1+DH$1),AND(A64&gt;DA$4,B64&gt;DB$4,Setup!C$67&lt;YEAR(C64)),IF(Y63=0,0,(P63-((P63/Y63)*BY63))*(1+DH$2)))</f>
        <v>0</v>
      </c>
      <c r="Q64" s="327" cm="1">
        <f t="array" ref="Q64">_xlfn.IFS(OR(ISBLANK(Setup!C$71),Setup!C$71&gt;YEAR(C64),AND(A64&gt;DA$6,B64&gt;DB$6)),0,Setup!C$71=YEAR(C64),Setup!C$70,AND(OR(A64&lt;=DA$4,B64&lt;=DB$4),Setup!C$71&lt;YEAR(C64)),Q63*(1+DH$1),AND(A64&gt;DA$4,B64&gt;DB$4,Setup!C$71&lt;YEAR(C64)),IF(Y63=0,0,(Q63-((Q63/Y63)*BY63))*(1+DH$2)))</f>
        <v>0</v>
      </c>
      <c r="R64" s="327" cm="1">
        <f t="array" ref="R64">_xlfn.IFS(OR(ISBLANK(Setup!C$75),Setup!C$75&gt;YEAR(C64),AND(A64&gt;DA$6,B64&gt;DB$6)),0,Setup!C$75=YEAR(C64),Setup!C$74,AND(OR(A64&lt;=DA$4,B64&lt;=DB$4),Setup!C$75&lt;YEAR(C64)),R63*(1+DH$1),AND(A64&gt;DA$4,B64&gt;DB$4,Setup!C$75&lt;YEAR(C64)),IF(Y63=0,0,(R63-((R63/Y63)*BY63))*(1+DH$2)))</f>
        <v>0</v>
      </c>
      <c r="S64" s="327"/>
      <c r="T64" s="326" cm="1">
        <f t="array" ref="T64">_xlfn.IFS(AND($A64&gt;$DA$6,$B64&gt;$DB$6),0,AND($W$2=$DA$2,$A64&gt;$DA$4),IF($Y63=0,0,(T63-((T63/$Y63)*$BY63))*(1+$DH$2)),AND($W$2=$DB$2,$B64&gt;$DB$4),IF($Y63=0,0,(T63-((T63/$Y63)*$BY63))*(1+$DH$2)),AND($W$2=$DA$2,OR($A64&gt;$DA$3,$A64&gt;$DA$6)),(T63*(1+$DH$1)),AND($W$2=$DB$2,OR($B64&gt;$DB$3,$B64&gt;$DB$6)),(T63*(1+$DH$1)),AND($W$2=$DA$2,$A64&lt;=$DA$3,$A64&lt;=$DA$4,$A64&lt;=$DA$5),(T63*(1+$DH$1))+(T$4),AND($W$2=$DB$2,$B64&lt;=$DB$3,$B64&lt;=$DB$4,$B64&lt;=$DB$5),(T63*(1+$DH$1))+(T$4))</f>
        <v>0</v>
      </c>
      <c r="U64" s="326" cm="1">
        <f t="array" ref="U64">_xlfn.IFS(AND($A64&gt;$DA$6,$B64&gt;$DB$6),0,AND($W$2=$DA$2,$A64&gt;$DA$4),IF($Y63=0,0,(U63-((U63/$Y63)*$BY63))*(1+$DH$2)),AND($W$2=$DB$2,$B64&gt;$DB$4),IF($Y63=0,0,(U63-((U63/$Y63)*$BY63))*(1+$DH$2)),AND($W$2=$DA$2,OR($A64&gt;$DA$3,$A64&gt;$DA$6)),(U63*(1+$DH$1)),AND($W$2=$DB$2,OR($B64&gt;$DB$3,$B64&gt;$DB$6)),(U63*(1+$DH$1)),AND($W$2=$DA$2,$A64&lt;=$DA$3,$A64&lt;=$DA$4,$A64&lt;=$DA$5),(U63*(1+$DH$1))+(U$4),AND($W$2=$DB$2,$B64&lt;=$DB$3,$B64&lt;=$DB$4,$B64&lt;=$DB$5),(U63*(1+$DH$1))+(U$4))</f>
        <v>0</v>
      </c>
      <c r="V64" s="326" cm="1">
        <f t="array" ref="V64">_xlfn.IFS(AND($A64&gt;$DA$6,$B64&gt;$DB$6),0,AND($W$2=$DA$2,$A64&gt;$DA$4),IF($Y63=0,0,(V63-((V63/$Y63)*$BY63))*(1+$DH$2)),AND($W$2=$DB$2,$B64&gt;$DB$4),IF($Y63=0,0,(V63-((V63/$Y63)*$BY63))*(1+$DH$2)),AND($W$2=$DA$2,OR($A64&gt;$DA$3,$A64&gt;$DA$6)),(V63*(1+$DH$1)),AND($W$2=$DB$2,OR($B64&gt;$DB$3,$B64&gt;$DB$6)),(V63*(1+$DH$1)),AND($W$2=$DA$2,$A64&lt;=$DA$3,$A64&lt;=$DA$4,$A64&lt;=$DA$5),(V63*(1+$DH$1))+(V$4),AND($W$2=$DB$2,$B64&lt;=$DB$3,$B64&lt;=$DB$4,$B64&lt;=$DB$5),(V63*(1+$DH$1))+(V$4))</f>
        <v>0</v>
      </c>
      <c r="W64" s="326" cm="1">
        <f t="array" ref="W64">_xlfn.IFS(AND($A64&gt;$DA$6,$B64&gt;$DB$6),0,AND($W$2=$DA$2,$A64&gt;$DA$4),IF($Y63=0,0,(W63-((W63/$Y63)*$BY63))*(1+$DH$2)),AND($W$2=$DB$2,$B64&gt;$DB$4),IF($Y63=0,0,(W63-((W63/$Y63)*$BY63))*(1+$DH$2)),AND($W$2=$DA$2,OR($A64&gt;$DA$3,$A64&gt;$DA$6)),(W63*(1+$DH$1)),AND($W$2=$DB$2,OR($B64&gt;$DB$3,$B64&gt;$DB$6)),(W63*(1+$DH$1)),AND($W$2=$DA$2,$A64&lt;=$DA$3,$A64&lt;=$DA$4,$A64&lt;=$DA$5),(W63*(1+$DH$1))+(W$4),AND($W$2=$DB$2,$B64&lt;=$DB$3,$B64&lt;=$DB$4,$B64&lt;=$DB$5),(W63*(1+$DH$1))+(W$4))</f>
        <v>0</v>
      </c>
      <c r="Y64" s="1">
        <f t="shared" si="47"/>
        <v>0</v>
      </c>
      <c r="Z64" s="2">
        <f t="shared" si="37"/>
        <v>0</v>
      </c>
      <c r="AA64" s="375"/>
      <c r="AC64" s="326" cm="1">
        <f t="array" ref="AC64">_xlfn.IFS(AND(A64&gt;DA$6,B64&gt;DB$6),0,AND(A64&gt;DA$4,B64&gt;DB$4),IF(AG63=0,0,(AC63-((AC63/AG63)*CA63))*(1+DH$2)),OR(A64&gt;DA$3,A64&gt;DA$6),AC63*(1+DH$1),A64&gt;DA$4,(AC63-CA63)*(1+DH$2),AND(A64&lt;=DA$3,A64&lt;=DA$4,A64&lt;=DA$6),(AC63*(1+DH$1))+(AC$4))</f>
        <v>0</v>
      </c>
      <c r="AD64" s="375"/>
      <c r="AE64" s="326" cm="1">
        <f t="array" ref="AE64">_xlfn.IFS(AND(A64&gt;DA$6,B64&gt;DB$6),0,AND(A64&gt;DA$4,B64&gt;DB$4),IF(AG63=0,0,(AE63-((AE63/AG63)*CA63))*(1+DH$2)),OR(B64&gt;DB$3,B64&gt;DB$6),AE63*(1+DH$1),B64&gt;DB$4,(AE63-CA63)*(1+DH$2),AND(B64&lt;=DB$3,B64&lt;=DB$4,B64&lt;=DB$6),(AE63*(1+DH$1))+(AE$4))</f>
        <v>0</v>
      </c>
      <c r="AF64" s="375"/>
      <c r="AG64" s="1">
        <f t="shared" si="61"/>
        <v>0</v>
      </c>
      <c r="AH64" s="2">
        <f t="shared" si="48"/>
        <v>0</v>
      </c>
      <c r="AI64" s="14">
        <f t="shared" si="38"/>
        <v>0</v>
      </c>
      <c r="AK64" s="1">
        <f t="shared" si="49"/>
        <v>0</v>
      </c>
      <c r="AL64" s="14">
        <f t="shared" si="39"/>
        <v>0</v>
      </c>
      <c r="AM64" s="14" t="str">
        <f t="shared" si="23"/>
        <v/>
      </c>
      <c r="AO64" s="15">
        <f t="shared" si="40"/>
        <v>0</v>
      </c>
      <c r="AP64" s="1">
        <f>IF(AND(B64&gt;=$DB$6,A64&gt;=$DA$6),0,AP63*(1+Lookups!C$12))</f>
        <v>0</v>
      </c>
      <c r="AQ64" s="1">
        <f>IF(AND(B64&gt;=$DB$6,A64&gt;=$DA$6),0,AQ63*(1+Lookups!C$12))</f>
        <v>0</v>
      </c>
      <c r="AS64" s="1" cm="1">
        <f t="array" ref="AS64">_xlfn.IFS(OR(AS$6="",AND(A64&gt;=DA$6,B64&gt;=DB$6),AND(A64&lt;DA$4,B64&lt;DB$4)),0,AND(A64=DA$4,DA$4&lt;=DB$4),AS$6,AND(B64=DB$4,DA$4&gt;=DB$4),AS$6,OR(A64&gt;DA$4,B64&gt;DB$4),AS63*(1+Setup!C$103))</f>
        <v>0</v>
      </c>
      <c r="AT64" s="1" cm="1">
        <f t="array" ref="AT64">_xlfn.IFS(OR(AT$6="",AND(A64&gt;=DA$6,B64&gt;=DB$6),AND(A64&lt;DA$4,B64&lt;DB$4)),0,AND(A64=DA$4,DA$4&lt;=DB$4),AT$6,AND(B64=DB$4,DA$4&gt;=DB$4),AT$6,OR(A64&gt;DA$4,B64&gt;DB$4),AT63*(1+Setup!C$103))</f>
        <v>0</v>
      </c>
      <c r="AU64" s="1" cm="1">
        <f t="array" ref="AU64">_xlfn.IFS(OR(AU$6="",AND(A64&gt;=DA$6,B64&gt;=DB$6),AND(A64&lt;DA$4,B64&lt;DB$4)),0,AND(A64=DA$4,DA$4&lt;=DB$4),AU$6,AND(B64=DB$4,DA$4&gt;=DB$4),AU$6,OR(A64&gt;DA$4,B64&gt;DB$4),AU63*(1+Setup!C$103))</f>
        <v>0</v>
      </c>
      <c r="AV64" s="1" cm="1">
        <f t="array" ref="AV64">_xlfn.IFS(OR(AV$6="",AND(A64&gt;=DA$6,B64&gt;=DB$6),AND(A64&lt;DA$4,B64&lt;DB$4)),0,AND(A64=DA$4,DA$4&lt;=DB$4),AV$6,AND(B64=DB$4,DA$4&gt;=DB$4),AV$6,OR(A64&gt;DA$4,B64&gt;DB$4),AV63*(1+Setup!C$103))</f>
        <v>0</v>
      </c>
      <c r="AW64" s="1">
        <f t="shared" si="41"/>
        <v>0</v>
      </c>
      <c r="AY64" s="1" cm="1">
        <f t="array" ref="AY64">_xlfn.IFS(OR(AND(A64&gt;=DA$6,B64&gt;=DB$6),A64&lt;DA$5),0,AND(A64=DA$5,YEAR(C64)&gt;=Lookups!D$89),VLOOKUP(A64,Lookups!B$94:F$102,3),AND(A64=DA$5,YEAR(C64)&lt;Lookups!D$89),VLOOKUP(A64,Lookups!B$94:F$102,2),AND(A64&gt;DA$5,YEAR(C64)=Lookups!D$89),(AY63*Lookups!D$90)*(1+Lookups!C$20),AND(A64&gt;DA$5,YEAR(C64)&lt;&gt;Lookups!D$89),AY63*(1+Lookups!C$20))</f>
        <v>0</v>
      </c>
      <c r="AZ64" s="1" cm="1">
        <f t="array" ref="AZ64">_xlfn.IFS(OR(ISBLANK(Setup!K$91),Setup!K$91=0,AND(A64&gt;=DA$6,B64&gt;=DB$6),B64&lt;DB$5),0,AND(B64=DB$5,YEAR(C64)&gt;=Lookups!D$89),VLOOKUP(B64,Lookups!B$94:F$102,5),AND(B64=DB$5,YEAR(C64)&lt;Lookups!D$89),VLOOKUP(B64,Lookups!B$94:F$102,4),AND(B64&gt;DB$5,YEAR(C64)=Lookups!D$89),(AZ63*Lookups!D$90)*(1+Lookups!C$20),AND(B64&gt;DB$5,YEAR(C64)&lt;&gt;Lookups!D$89),AZ63*(1+Lookups!C$20))</f>
        <v>0</v>
      </c>
      <c r="BA64" s="65">
        <f>IF(OR(AY64&gt;0,AZ64&gt;0),(AY64+AZ64)*Lookups!D$120,0)</f>
        <v>0</v>
      </c>
      <c r="BB64" s="1" cm="1">
        <f t="array" ref="BB64">_xlfn.IFS(AND(A64&lt;DA$4,B64&lt;DB$4),0,OR(_xlfn.XOR(A64&gt;DA$6,B64&gt;DB$6),_xlfn.XOR(A64&gt;=DA$4,B64&gt;=DB$4)),IF(AP64-SUM(AW64,AY64:AZ64)&gt;0,AP64-SUM(AW64,AY64:AZ64),0),AQ64-SUM(AW64,AY64:AZ64)&gt;0, AQ64-SUM(AW64,AY64:AZ64),AQ64-SUM(AW64,AY64:AZ64)&lt;=0,0)</f>
        <v>0</v>
      </c>
      <c r="BD64" s="1" cm="1">
        <f t="array" ref="BD64">_xlfn.IFS(AND(A64&gt;=DA$6,B64&gt;=DB$6),0,AND(A64&gt;=DA$6,B64&gt;=Lookups!C$35),D64/VLOOKUP(B64,Lookups!C$37:D$67,2),A64&lt;Lookups!$C$35,0,A64&gt;=Lookups!C$35,D64/VLOOKUP(A64,Lookups!C$37:D$67,2))</f>
        <v>0</v>
      </c>
      <c r="BE64" s="1" cm="1">
        <f t="array" ref="BE64">_xlfn.IFS(AND(A64&gt;=DA$6,B64&gt;=DB$6),0,AND(B64&gt;=DB$6,A64&gt;=Lookups!C$35),F64/VLOOKUP(A64,Lookups!C$37:D$67,2),B64&lt;Lookups!$C$35,0,B64&gt;=Lookups!C$35,F64/VLOOKUP(B64,Lookups!C$37:D$67,2))</f>
        <v>0</v>
      </c>
      <c r="BF64" s="1" cm="1">
        <f t="array" ref="BF64">_xlfn.IFS($BB64&lt;=0,0,AND(A64&gt;=DA$4,B64&gt;=DB$4,$BB64*I64&lt;(BD64+BE64)),0,AND(A64&gt;=DA$4,B64&gt;=DB$4,H64&gt;=(BB64*I64)-BD64-BE64),(BB64*I64)-BD64-BE64,AND(A64&gt;=DA$4,B64&gt;=DB$4,H64&lt;(BB64*I64)-BD64-BE64),H64,AND(A64&gt;=DA$4,$BB64*I64&lt;(BD64)),0,AND(A64&gt;=DA$4,H64&gt;=(BB64*I64)-BD64),(BB64*I64)-BD64,AND(A64&gt;=DA$4,H64&lt;(BB64*I64)-BD64),H64,AND(B64&gt;=DB$4,$BB64*I64&lt;(BE64)),0,AND(B64&gt;=DB$4,H64&gt;=(BB64*I64)-BE64),(BB64*I64)-BE64,AND(B64&gt;=DB$4,H64&lt;(BB64*I64)-BE64),H64)</f>
        <v>0</v>
      </c>
      <c r="BG64" s="1">
        <f t="shared" si="53"/>
        <v>0</v>
      </c>
      <c r="BH64" s="1" cm="1">
        <f t="array" ref="BH64">_xlfn.IFS(OR(D64=0,A64&lt;DA$4),0,AND(A64&gt;=DA$4,B64&gt;=DB$4,D64&lt;BD64+($BF64*(D64/$H64))+(-$BP64*(D64/$H64))),D64,AND(A64&gt;=DA$4,B64&gt;=DB$4,$BB64&gt;$BG64),BD64+($BF64*(D64/$H64))+(-$BP64*(D64/$H64)),AND(A64&gt;=DA$4,B64&gt;=DB$4,OR(A64&gt;DA$6, B64&gt;DB$6),$AP64-SUM($AW64,$AY64:$AZ64)&lt;0),BD64+($BF64*(D64/$H64))+(-$BP64*(D64/$H64))+(BP64*(D64/$H64)),AND(A64&gt;=DA$4,B64&gt;=DB$4,$AQ64-SUM($AW64,$AY64:$AZ64)&lt;0),BD64+($BF64*(D64/$H64))+(-$BP64*(D64/$H64))+(BP64*(D64/$H64)),AND(A64&gt;=DA$4,D64&lt;BD64+$BF64-$BP64),D64,AND(A64&gt;=DA$4,$AP64-SUM($AW64,$AY64:$AZ64)&lt;0),BD64+($BF64*(D64/$H64))+(-$BP64*(D64/$H64))+(BP64*(D64/$H64)),A64&gt;=DA$4,BD64+$BF64-$BP64)</f>
        <v>0</v>
      </c>
      <c r="BI64" s="1" cm="1">
        <f t="array" ref="BI64">_xlfn.IFS(OR(F64=0,B64&lt;DB$4),0,AND(A64&gt;=DA$4,B64&gt;=DB$4,F64&lt;BE64+($BF64*(F64/$H64))+(-$BP64*(F64/$H64))),F64,AND(A64&gt;=DA$4,B64&gt;=DB$4,$BB64&gt;$BG64),BE64+($BF64*(F64/$H64))+(-$BP64*(F64/$H64)),AND(A64&gt;=DA$4,B64&gt;=DB$4,OR(A64&gt;DA$6, B64&gt;DB$6),$AP64-SUM($AW64,$AY64:$AZ64)&lt;0),BE64+($BF64*(F64/$H64))+(-$BP64*(F64/$H64))+(BP64*(F64/$H64)),AND(A64&gt;=DA$4,B64&gt;=DB$4,$AQ64-SUM($AW64,$AY64:$AZ64)&lt;0),BE64+($BF64*(F64/$H64))+(-$BP64*(F64/$H64))+(BP64*(F64/$H64)),AND(B64&gt;=DB$4,F64&lt;BE64+$BF64-$BP64),F64,AND(B64&gt;=DB$4,$AP64-SUM($AW64,$AY64:$AZ64)&lt;0),BE64+($BF64*(F64/$H64))+(-$BP64*(F64/$H64))+(BP64*(F64/$H64)),B64&gt;=DB$4,BE64+$BF64-$BP64)</f>
        <v>0</v>
      </c>
      <c r="BJ64" s="64" cm="1">
        <f t="array" ref="BJ64">IF(AW64+BA64+BG64&gt;0, AW64+BA64+BG64-_xlfn.IFS(AND(A64&gt;=65,B64&gt;=65),VLOOKUP(Setup!I$4,Lookups!C$133:F$136,4),OR(A64&gt;=65,B64&gt;=65),VLOOKUP(Setup!I$4,Lookups!C$133:E$136,3),AND(A64&lt;65,B64&lt;65),VLOOKUP(Setup!I$4,Lookups!C$133:D$136,2)),0)</f>
        <v>0</v>
      </c>
      <c r="BK64" s="1" cm="1">
        <f t="array" ref="BK64">IF(BJ64&gt;0,_xlfn.IFS(Setup!I$4=Lookups!D$109,-_xlfn.IFS($BJ64&gt;=Lookups!D$157, Lookups!F$157+($BJ64-Lookups!D$157)*Lookups!G$157,$BJ64&gt;=Lookups!D$156, Lookups!F$156+($BJ64-Lookups!D$156)*Lookups!G$156,$BJ64&gt;=Lookups!D$155, Lookups!F$155+($BJ64-Lookups!D$155)*Lookups!G$155,$BJ64&gt;=Lookups!D$154, Lookups!F$154+($BJ64-Lookups!D$154)*Lookups!G$154,$BJ64&gt;=Lookups!D$153, Lookups!F$153+($BJ64-Lookups!D$153)*Lookups!G$153,$BJ64&gt;=Lookups!D$152, Lookups!F$152+($BJ64-Lookups!D$152)*Lookups!G$152,$BJ64&lt;Lookups!D$152,$BJ64*Lookups!G$151),Setup!I$4=Lookups!D$110,-_xlfn.IFS($BJ64&gt;=Lookups!D$167, Lookups!F$167+($BJ64-Lookups!D$167)*Lookups!G$167,$BJ64&gt;=Lookups!D$166, Lookups!F$166+($BJ64-Lookups!D$166)*Lookups!G$166,$BJ64&gt;=Lookups!D$165, Lookups!F$165+($BJ64-Lookups!D$165)*Lookups!G$165,$BJ64&gt;=Lookups!D$164, Lookups!F$164+($BJ64-Lookups!D$164)*Lookups!G$164,$BJ64&gt;=Lookups!D$163, Lookups!F$163+($BJ64-Lookups!D$163)*Lookups!G$163,$BJ64&gt;=Lookups!D$162, Lookups!F$162+($BJ64-Lookups!D$162)*Lookups!G$162,$BJ64&lt;Lookups!D$162,$BJ64*Lookups!G$161),Setup!I$4=Lookups!D$111,-_xlfn.IFS($BJ64&gt;=Lookups!D$177, Lookups!F$177+($BJ64-Lookups!D$177)*Lookups!G$177,$BJ64&gt;=Lookups!D$176, Lookups!F$176+($BJ64-Lookups!D$176)*Lookups!G$176,$BJ64&gt;=Lookups!D$175, Lookups!F$175+($BJ64-Lookups!D$175)*Lookups!G$175,$BJ64&gt;=Lookups!D$174, Lookups!F$174+($BJ64-Lookups!D$174)*Lookups!G$174,$BJ64&gt;=Lookups!D$173, Lookups!F$173+($BJ64-Lookups!D$173)*Lookups!G$173,$BJ64&gt;=Lookups!D$172, Lookups!F$172+($BJ64-Lookups!D$172)*Lookups!G$172,$BJ64&lt;Lookups!D$172,$BJ64*Lookups!G$171), Setup!I$4=Lookups!D$112,-_xlfn.IFS($BJ64&gt;=Lookups!D$187, Lookups!F$187+($BJ64-Lookups!D$187)*Lookups!G$187,$BJ64&gt;=Lookups!D$186, Lookups!F$186+($BJ64-Lookups!D$186)*Lookups!G$186,$BJ64&gt;=Lookups!D$185, Lookups!F$185+($BJ64-Lookups!D$185)*Lookups!G$185,$BJ64&gt;=Lookups!D$184, Lookups!F$184+($BJ64-Lookups!D$184)*Lookups!G$184,$BJ64&gt;=Lookups!D$183, Lookups!F$183+($BJ64-Lookups!D$183)*Lookups!G$183,$BJ64&gt;=Lookups!D$182, Lookups!F$182+($BJ64-Lookups!D$182)*Lookups!G$182,$BJ64&lt;Lookups!D$182,$BJ64*Lookups!G$181)),0)</f>
        <v>0</v>
      </c>
      <c r="BL64" s="18">
        <f t="shared" si="54"/>
        <v>0</v>
      </c>
      <c r="BM64" s="134">
        <f t="shared" si="55"/>
        <v>0</v>
      </c>
      <c r="BN64" s="134" cm="1">
        <f t="array" aca="1" ref="BN64" ca="1">INDIRECT(Setup!I$6&amp;"!"&amp;"A"&amp;ROW())</f>
        <v>0</v>
      </c>
      <c r="BO64" s="134">
        <f t="shared" si="56"/>
        <v>0</v>
      </c>
      <c r="BP64" s="1">
        <f t="shared" si="57"/>
        <v>0</v>
      </c>
      <c r="BQ64" s="1">
        <f t="shared" si="58"/>
        <v>0</v>
      </c>
      <c r="BS64" s="1">
        <f t="shared" si="50"/>
        <v>0</v>
      </c>
      <c r="BT64" s="1" cm="1">
        <f t="array" ref="BT64">-IF(BS64&gt;0,_xlfn.IFS((AW64+BA64+BG64+BS64)&gt;=VLOOKUP(Setup!I$4,Lookups!C$210:E$213,3),BS64*Lookups!D$203,(AW64+BA64+BG64+BS64)&gt;=VLOOKUP(Setup!I$4,Lookups!C$210:E$213,2),BS64*Lookups!D$197,(AW64+BA64+BG64+BS64)&lt;VLOOKUP(Setup!I$4,Lookups!C$210:E$213,2),0),0)</f>
        <v>0</v>
      </c>
      <c r="BU64" s="18">
        <f t="shared" si="51"/>
        <v>0</v>
      </c>
      <c r="BV64" s="1">
        <f t="shared" si="52"/>
        <v>0</v>
      </c>
      <c r="BW64" s="1" cm="1">
        <f t="array" aca="1" ref="BW64" ca="1">INDIRECT(Setup!I$6&amp;"!"&amp;"A"&amp;ROW()+100)</f>
        <v>0</v>
      </c>
      <c r="BX64" s="1">
        <f t="shared" ca="1" si="44"/>
        <v>0</v>
      </c>
      <c r="BY64" s="1">
        <f t="shared" ca="1" si="45"/>
        <v>0</v>
      </c>
      <c r="CA64" s="1">
        <f t="shared" si="59"/>
        <v>0</v>
      </c>
      <c r="CC64" s="1" cm="1">
        <f t="array" ref="CC64">_xlfn.IFS(AND(A64&lt;$DA$4,B64&lt;$DB$4),0,AND(AND(A64&gt;=$DA$4,B64&gt;=$DB$4),AND(A64&lt;=$DA$6,B64&lt;=$DB$6),AND(BH64=0,BI64=0)),SUM(AW64,AY64:AZ64,BD64:BF64,BP64,BS64,CA64)-AQ64,AND(AND(A64&gt;=$DA$4,B64&gt;=$DB$4),AND(A64&lt;=$DA$6,B64&lt;=$DB$6)),SUM(AW64,AY64:AZ64,BD64:BF64,BS64,CA64)-AQ64,AND(OR(A64&gt;=$DA$4,B64&gt;=$DB$4),AND(BH64=0,BI64=0)),SUM(AW64,AY64:AZ64,BD64:BF64,BP64,BS64,CA64)-AP64,OR(A64&gt;=$DA$4,B64&gt;=$DB$4),SUM(AW64,AY64:AZ64,BD64:BF64,BS64,CA64)-AP64)</f>
        <v>0</v>
      </c>
      <c r="CD64" s="142" t="str">
        <f t="shared" si="30"/>
        <v/>
      </c>
    </row>
    <row r="65" spans="1:82" x14ac:dyDescent="0.3">
      <c r="A65" s="354">
        <f t="shared" si="62"/>
        <v>58</v>
      </c>
      <c r="B65" s="354">
        <f t="shared" si="63"/>
        <v>58</v>
      </c>
      <c r="C65" s="359">
        <f t="shared" si="33"/>
        <v>21186</v>
      </c>
      <c r="D65" s="326" cm="1">
        <f t="array" ref="D65">_xlfn.IFS(AND(A65&gt;DA$6,B65&gt;DB$6),0,AND(A65&gt;DA$3,A65&lt;=DA$4),D64*(1+DH$1),OR(A65&gt;DA$6,A65&gt;DA$4),(D64-BH64)*(1+DH$2),A65&lt;=DA$4,(D64*(1+DH$1))+(D$4))</f>
        <v>0</v>
      </c>
      <c r="E65" s="375"/>
      <c r="F65" s="326" cm="1">
        <f t="array" ref="F65">_xlfn.IFS(AND(A65&gt;DA$6,B65&gt;DB$6),0,AND(B65&gt;DB$3,B65&lt;=DB$4),F64*(1+DH$1),OR(B65&gt;DB$6,B65&gt;DB$4),(F64-BI64)*(1+DH$2),B65&lt;=DB$4,(F64*(1+DH$1))+(F$4))</f>
        <v>0</v>
      </c>
      <c r="G65" s="375"/>
      <c r="H65" s="1">
        <f t="shared" si="60"/>
        <v>0</v>
      </c>
      <c r="I65" s="2">
        <f t="shared" si="36"/>
        <v>0</v>
      </c>
      <c r="J65" s="14">
        <f t="shared" si="64"/>
        <v>0</v>
      </c>
      <c r="L65" s="402" cm="1">
        <f t="array" ref="L65">_xlfn.IFS(AND(A65&gt;DA$6,B65&gt;DB$6),0,A65&lt;DA$6,0,A65=DA$6,L$4,AND(A65&gt;DA$6,B65&lt;=DB$4),L64*(1+DH$1),AND(A65&gt;DA$6,B65&gt;DB$4),IF(Y64=0,0,(L64-((L64/Y64)*BY64))*(1+DH$2)))</f>
        <v>0</v>
      </c>
      <c r="M65" s="402" cm="1">
        <f t="array" ref="M65">_xlfn.IFS(AND(A65&gt;DA$6,B65&gt;DB$6),0,B65&lt;DB$6,0,B65=DB$6,M$4,AND(B65&gt;DB$6,A65&lt;=DA$4),M64*(1+DH$1),AND(A65&gt;DA$4,B65&gt;DB$6),IF(Y64=0,0,(M64-((M64/Y64)*BY64))*(1+DH$2)))</f>
        <v>0</v>
      </c>
      <c r="N65" s="327"/>
      <c r="O65" s="327" cm="1">
        <f t="array" ref="O65">_xlfn.IFS(OR(ISBLANK(Setup!C$63),Setup!C$63&gt;YEAR(C65),AND(A65&gt;DA$6,B65&gt;DB$6),ISBLANK(Y64)),0,Setup!C$63=YEAR(C65),Setup!C$62,AND(OR(A65&lt;=DA$4,B65&lt;=DB$4),Setup!C$63&lt;YEAR(C65)),O64*(1+DH$1),AND(A65&gt;DA$4,B65&gt;DB$4,Setup!C$63&lt;YEAR(C65)),IF(Y64=0,0,(O64-((O64/Y64)*BY64))*(1+DH$2)))</f>
        <v>0</v>
      </c>
      <c r="P65" s="327" cm="1">
        <f t="array" ref="P65">_xlfn.IFS(OR(ISBLANK(Setup!C$67),Setup!C$67&gt;YEAR(C65),AND(A65&gt;DA$6,B65&gt;DB$6)),0,Setup!C$67=YEAR(C65),Setup!C$66,AND(OR(A65&lt;=DA$4,B65&lt;=DB$4),Setup!C$67&lt;YEAR(C65)),P64*(1+DH$1),AND(A65&gt;DA$4,B65&gt;DB$4,Setup!C$67&lt;YEAR(C65)),IF(Y64=0,0,(P64-((P64/Y64)*BY64))*(1+DH$2)))</f>
        <v>0</v>
      </c>
      <c r="Q65" s="327" cm="1">
        <f t="array" ref="Q65">_xlfn.IFS(OR(ISBLANK(Setup!C$71),Setup!C$71&gt;YEAR(C65),AND(A65&gt;DA$6,B65&gt;DB$6)),0,Setup!C$71=YEAR(C65),Setup!C$70,AND(OR(A65&lt;=DA$4,B65&lt;=DB$4),Setup!C$71&lt;YEAR(C65)),Q64*(1+DH$1),AND(A65&gt;DA$4,B65&gt;DB$4,Setup!C$71&lt;YEAR(C65)),IF(Y64=0,0,(Q64-((Q64/Y64)*BY64))*(1+DH$2)))</f>
        <v>0</v>
      </c>
      <c r="R65" s="327" cm="1">
        <f t="array" ref="R65">_xlfn.IFS(OR(ISBLANK(Setup!C$75),Setup!C$75&gt;YEAR(C65),AND(A65&gt;DA$6,B65&gt;DB$6)),0,Setup!C$75=YEAR(C65),Setup!C$74,AND(OR(A65&lt;=DA$4,B65&lt;=DB$4),Setup!C$75&lt;YEAR(C65)),R64*(1+DH$1),AND(A65&gt;DA$4,B65&gt;DB$4,Setup!C$75&lt;YEAR(C65)),IF(Y64=0,0,(R64-((R64/Y64)*BY64))*(1+DH$2)))</f>
        <v>0</v>
      </c>
      <c r="S65" s="327"/>
      <c r="T65" s="326" cm="1">
        <f t="array" ref="T65">_xlfn.IFS(AND($A65&gt;$DA$6,$B65&gt;$DB$6),0,AND($W$2=$DA$2,$A65&gt;$DA$4),IF($Y64=0,0,(T64-((T64/$Y64)*$BY64))*(1+$DH$2)),AND($W$2=$DB$2,$B65&gt;$DB$4),IF($Y64=0,0,(T64-((T64/$Y64)*$BY64))*(1+$DH$2)),AND($W$2=$DA$2,OR($A65&gt;$DA$3,$A65&gt;$DA$6)),(T64*(1+$DH$1)),AND($W$2=$DB$2,OR($B65&gt;$DB$3,$B65&gt;$DB$6)),(T64*(1+$DH$1)),AND($W$2=$DA$2,$A65&lt;=$DA$3,$A65&lt;=$DA$4,$A65&lt;=$DA$5),(T64*(1+$DH$1))+(T$4),AND($W$2=$DB$2,$B65&lt;=$DB$3,$B65&lt;=$DB$4,$B65&lt;=$DB$5),(T64*(1+$DH$1))+(T$4))</f>
        <v>0</v>
      </c>
      <c r="U65" s="326" cm="1">
        <f t="array" ref="U65">_xlfn.IFS(AND($A65&gt;$DA$6,$B65&gt;$DB$6),0,AND($W$2=$DA$2,$A65&gt;$DA$4),IF($Y64=0,0,(U64-((U64/$Y64)*$BY64))*(1+$DH$2)),AND($W$2=$DB$2,$B65&gt;$DB$4),IF($Y64=0,0,(U64-((U64/$Y64)*$BY64))*(1+$DH$2)),AND($W$2=$DA$2,OR($A65&gt;$DA$3,$A65&gt;$DA$6)),(U64*(1+$DH$1)),AND($W$2=$DB$2,OR($B65&gt;$DB$3,$B65&gt;$DB$6)),(U64*(1+$DH$1)),AND($W$2=$DA$2,$A65&lt;=$DA$3,$A65&lt;=$DA$4,$A65&lt;=$DA$5),(U64*(1+$DH$1))+(U$4),AND($W$2=$DB$2,$B65&lt;=$DB$3,$B65&lt;=$DB$4,$B65&lt;=$DB$5),(U64*(1+$DH$1))+(U$4))</f>
        <v>0</v>
      </c>
      <c r="V65" s="326" cm="1">
        <f t="array" ref="V65">_xlfn.IFS(AND($A65&gt;$DA$6,$B65&gt;$DB$6),0,AND($W$2=$DA$2,$A65&gt;$DA$4),IF($Y64=0,0,(V64-((V64/$Y64)*$BY64))*(1+$DH$2)),AND($W$2=$DB$2,$B65&gt;$DB$4),IF($Y64=0,0,(V64-((V64/$Y64)*$BY64))*(1+$DH$2)),AND($W$2=$DA$2,OR($A65&gt;$DA$3,$A65&gt;$DA$6)),(V64*(1+$DH$1)),AND($W$2=$DB$2,OR($B65&gt;$DB$3,$B65&gt;$DB$6)),(V64*(1+$DH$1)),AND($W$2=$DA$2,$A65&lt;=$DA$3,$A65&lt;=$DA$4,$A65&lt;=$DA$5),(V64*(1+$DH$1))+(V$4),AND($W$2=$DB$2,$B65&lt;=$DB$3,$B65&lt;=$DB$4,$B65&lt;=$DB$5),(V64*(1+$DH$1))+(V$4))</f>
        <v>0</v>
      </c>
      <c r="W65" s="326" cm="1">
        <f t="array" ref="W65">_xlfn.IFS(AND($A65&gt;$DA$6,$B65&gt;$DB$6),0,AND($W$2=$DA$2,$A65&gt;$DA$4),IF($Y64=0,0,(W64-((W64/$Y64)*$BY64))*(1+$DH$2)),AND($W$2=$DB$2,$B65&gt;$DB$4),IF($Y64=0,0,(W64-((W64/$Y64)*$BY64))*(1+$DH$2)),AND($W$2=$DA$2,OR($A65&gt;$DA$3,$A65&gt;$DA$6)),(W64*(1+$DH$1)),AND($W$2=$DB$2,OR($B65&gt;$DB$3,$B65&gt;$DB$6)),(W64*(1+$DH$1)),AND($W$2=$DA$2,$A65&lt;=$DA$3,$A65&lt;=$DA$4,$A65&lt;=$DA$5),(W64*(1+$DH$1))+(W$4),AND($W$2=$DB$2,$B65&lt;=$DB$3,$B65&lt;=$DB$4,$B65&lt;=$DB$5),(W64*(1+$DH$1))+(W$4))</f>
        <v>0</v>
      </c>
      <c r="Y65" s="1">
        <f t="shared" si="47"/>
        <v>0</v>
      </c>
      <c r="Z65" s="2">
        <f t="shared" si="37"/>
        <v>0</v>
      </c>
      <c r="AA65" s="375"/>
      <c r="AC65" s="326" cm="1">
        <f t="array" ref="AC65">_xlfn.IFS(AND(A65&gt;DA$6,B65&gt;DB$6),0,AND(A65&gt;DA$4,B65&gt;DB$4),IF(AG64=0,0,(AC64-((AC64/AG64)*CA64))*(1+DH$2)),OR(A65&gt;DA$3,A65&gt;DA$6),AC64*(1+DH$1),A65&gt;DA$4,(AC64-CA64)*(1+DH$2),AND(A65&lt;=DA$3,A65&lt;=DA$4,A65&lt;=DA$6),(AC64*(1+DH$1))+(AC$4))</f>
        <v>0</v>
      </c>
      <c r="AD65" s="375"/>
      <c r="AE65" s="326" cm="1">
        <f t="array" ref="AE65">_xlfn.IFS(AND(A65&gt;DA$6,B65&gt;DB$6),0,AND(A65&gt;DA$4,B65&gt;DB$4),IF(AG64=0,0,(AE64-((AE64/AG64)*CA64))*(1+DH$2)),OR(B65&gt;DB$3,B65&gt;DB$6),AE64*(1+DH$1),B65&gt;DB$4,(AE64-CA64)*(1+DH$2),AND(B65&lt;=DB$3,B65&lt;=DB$4,B65&lt;=DB$6),(AE64*(1+DH$1))+(AE$4))</f>
        <v>0</v>
      </c>
      <c r="AF65" s="375"/>
      <c r="AG65" s="1">
        <f t="shared" si="61"/>
        <v>0</v>
      </c>
      <c r="AH65" s="2">
        <f t="shared" si="48"/>
        <v>0</v>
      </c>
      <c r="AI65" s="14">
        <f t="shared" si="38"/>
        <v>0</v>
      </c>
      <c r="AK65" s="1">
        <f t="shared" si="49"/>
        <v>0</v>
      </c>
      <c r="AL65" s="14">
        <f t="shared" si="39"/>
        <v>0</v>
      </c>
      <c r="AM65" s="14" t="str">
        <f t="shared" si="23"/>
        <v/>
      </c>
      <c r="AO65" s="15">
        <f t="shared" si="40"/>
        <v>0</v>
      </c>
      <c r="AP65" s="1">
        <f>IF(AND(B65&gt;=$DB$6,A65&gt;=$DA$6),0,AP64*(1+Lookups!C$12))</f>
        <v>0</v>
      </c>
      <c r="AQ65" s="1">
        <f>IF(AND(B65&gt;=$DB$6,A65&gt;=$DA$6),0,AQ64*(1+Lookups!C$12))</f>
        <v>0</v>
      </c>
      <c r="AS65" s="1" cm="1">
        <f t="array" ref="AS65">_xlfn.IFS(OR(AS$6="",AND(A65&gt;=DA$6,B65&gt;=DB$6),AND(A65&lt;DA$4,B65&lt;DB$4)),0,AND(A65=DA$4,DA$4&lt;=DB$4),AS$6,AND(B65=DB$4,DA$4&gt;=DB$4),AS$6,OR(A65&gt;DA$4,B65&gt;DB$4),AS64*(1+Setup!C$103))</f>
        <v>0</v>
      </c>
      <c r="AT65" s="1" cm="1">
        <f t="array" ref="AT65">_xlfn.IFS(OR(AT$6="",AND(A65&gt;=DA$6,B65&gt;=DB$6),AND(A65&lt;DA$4,B65&lt;DB$4)),0,AND(A65=DA$4,DA$4&lt;=DB$4),AT$6,AND(B65=DB$4,DA$4&gt;=DB$4),AT$6,OR(A65&gt;DA$4,B65&gt;DB$4),AT64*(1+Setup!C$103))</f>
        <v>0</v>
      </c>
      <c r="AU65" s="1" cm="1">
        <f t="array" ref="AU65">_xlfn.IFS(OR(AU$6="",AND(A65&gt;=DA$6,B65&gt;=DB$6),AND(A65&lt;DA$4,B65&lt;DB$4)),0,AND(A65=DA$4,DA$4&lt;=DB$4),AU$6,AND(B65=DB$4,DA$4&gt;=DB$4),AU$6,OR(A65&gt;DA$4,B65&gt;DB$4),AU64*(1+Setup!C$103))</f>
        <v>0</v>
      </c>
      <c r="AV65" s="1" cm="1">
        <f t="array" ref="AV65">_xlfn.IFS(OR(AV$6="",AND(A65&gt;=DA$6,B65&gt;=DB$6),AND(A65&lt;DA$4,B65&lt;DB$4)),0,AND(A65=DA$4,DA$4&lt;=DB$4),AV$6,AND(B65=DB$4,DA$4&gt;=DB$4),AV$6,OR(A65&gt;DA$4,B65&gt;DB$4),AV64*(1+Setup!C$103))</f>
        <v>0</v>
      </c>
      <c r="AW65" s="1">
        <f t="shared" si="41"/>
        <v>0</v>
      </c>
      <c r="AY65" s="1" cm="1">
        <f t="array" ref="AY65">_xlfn.IFS(OR(AND(A65&gt;=DA$6,B65&gt;=DB$6),A65&lt;DA$5),0,AND(A65=DA$5,YEAR(C65)&gt;=Lookups!D$89),VLOOKUP(A65,Lookups!B$94:F$102,3),AND(A65=DA$5,YEAR(C65)&lt;Lookups!D$89),VLOOKUP(A65,Lookups!B$94:F$102,2),AND(A65&gt;DA$5,YEAR(C65)=Lookups!D$89),(AY64*Lookups!D$90)*(1+Lookups!C$20),AND(A65&gt;DA$5,YEAR(C65)&lt;&gt;Lookups!D$89),AY64*(1+Lookups!C$20))</f>
        <v>0</v>
      </c>
      <c r="AZ65" s="1" cm="1">
        <f t="array" ref="AZ65">_xlfn.IFS(OR(ISBLANK(Setup!K$91),Setup!K$91=0,AND(A65&gt;=DA$6,B65&gt;=DB$6),B65&lt;DB$5),0,AND(B65=DB$5,YEAR(C65)&gt;=Lookups!D$89),VLOOKUP(B65,Lookups!B$94:F$102,5),AND(B65=DB$5,YEAR(C65)&lt;Lookups!D$89),VLOOKUP(B65,Lookups!B$94:F$102,4),AND(B65&gt;DB$5,YEAR(C65)=Lookups!D$89),(AZ64*Lookups!D$90)*(1+Lookups!C$20),AND(B65&gt;DB$5,YEAR(C65)&lt;&gt;Lookups!D$89),AZ64*(1+Lookups!C$20))</f>
        <v>0</v>
      </c>
      <c r="BA65" s="65">
        <f>IF(OR(AY65&gt;0,AZ65&gt;0),(AY65+AZ65)*Lookups!D$120,0)</f>
        <v>0</v>
      </c>
      <c r="BB65" s="1" cm="1">
        <f t="array" ref="BB65">_xlfn.IFS(AND(A65&lt;DA$4,B65&lt;DB$4),0,OR(_xlfn.XOR(A65&gt;DA$6,B65&gt;DB$6),_xlfn.XOR(A65&gt;=DA$4,B65&gt;=DB$4)),IF(AP65-SUM(AW65,AY65:AZ65)&gt;0,AP65-SUM(AW65,AY65:AZ65),0),AQ65-SUM(AW65,AY65:AZ65)&gt;0, AQ65-SUM(AW65,AY65:AZ65),AQ65-SUM(AW65,AY65:AZ65)&lt;=0,0)</f>
        <v>0</v>
      </c>
      <c r="BD65" s="1" cm="1">
        <f t="array" ref="BD65">_xlfn.IFS(AND(A65&gt;=DA$6,B65&gt;=DB$6),0,AND(A65&gt;=DA$6,B65&gt;=Lookups!C$35),D65/VLOOKUP(B65,Lookups!C$37:D$67,2),A65&lt;Lookups!$C$35,0,A65&gt;=Lookups!C$35,D65/VLOOKUP(A65,Lookups!C$37:D$67,2))</f>
        <v>0</v>
      </c>
      <c r="BE65" s="1" cm="1">
        <f t="array" ref="BE65">_xlfn.IFS(AND(A65&gt;=DA$6,B65&gt;=DB$6),0,AND(B65&gt;=DB$6,A65&gt;=Lookups!C$35),F65/VLOOKUP(A65,Lookups!C$37:D$67,2),B65&lt;Lookups!$C$35,0,B65&gt;=Lookups!C$35,F65/VLOOKUP(B65,Lookups!C$37:D$67,2))</f>
        <v>0</v>
      </c>
      <c r="BF65" s="1" cm="1">
        <f t="array" ref="BF65">_xlfn.IFS($BB65&lt;=0,0,AND(A65&gt;=DA$4,B65&gt;=DB$4,$BB65*I65&lt;(BD65+BE65)),0,AND(A65&gt;=DA$4,B65&gt;=DB$4,H65&gt;=(BB65*I65)-BD65-BE65),(BB65*I65)-BD65-BE65,AND(A65&gt;=DA$4,B65&gt;=DB$4,H65&lt;(BB65*I65)-BD65-BE65),H65,AND(A65&gt;=DA$4,$BB65*I65&lt;(BD65)),0,AND(A65&gt;=DA$4,H65&gt;=(BB65*I65)-BD65),(BB65*I65)-BD65,AND(A65&gt;=DA$4,H65&lt;(BB65*I65)-BD65),H65,AND(B65&gt;=DB$4,$BB65*I65&lt;(BE65)),0,AND(B65&gt;=DB$4,H65&gt;=(BB65*I65)-BE65),(BB65*I65)-BE65,AND(B65&gt;=DB$4,H65&lt;(BB65*I65)-BE65),H65)</f>
        <v>0</v>
      </c>
      <c r="BG65" s="1">
        <f t="shared" si="53"/>
        <v>0</v>
      </c>
      <c r="BH65" s="1" cm="1">
        <f t="array" ref="BH65">_xlfn.IFS(OR(D65=0,A65&lt;DA$4),0,AND(A65&gt;=DA$4,B65&gt;=DB$4,D65&lt;BD65+($BF65*(D65/$H65))+(-$BP65*(D65/$H65))),D65,AND(A65&gt;=DA$4,B65&gt;=DB$4,$BB65&gt;$BG65),BD65+($BF65*(D65/$H65))+(-$BP65*(D65/$H65)),AND(A65&gt;=DA$4,B65&gt;=DB$4,OR(A65&gt;DA$6, B65&gt;DB$6),$AP65-SUM($AW65,$AY65:$AZ65)&lt;0),BD65+($BF65*(D65/$H65))+(-$BP65*(D65/$H65))+(BP65*(D65/$H65)),AND(A65&gt;=DA$4,B65&gt;=DB$4,$AQ65-SUM($AW65,$AY65:$AZ65)&lt;0),BD65+($BF65*(D65/$H65))+(-$BP65*(D65/$H65))+(BP65*(D65/$H65)),AND(A65&gt;=DA$4,D65&lt;BD65+$BF65-$BP65),D65,AND(A65&gt;=DA$4,$AP65-SUM($AW65,$AY65:$AZ65)&lt;0),BD65+($BF65*(D65/$H65))+(-$BP65*(D65/$H65))+(BP65*(D65/$H65)),A65&gt;=DA$4,BD65+$BF65-$BP65)</f>
        <v>0</v>
      </c>
      <c r="BI65" s="1" cm="1">
        <f t="array" ref="BI65">_xlfn.IFS(OR(F65=0,B65&lt;DB$4),0,AND(A65&gt;=DA$4,B65&gt;=DB$4,F65&lt;BE65+($BF65*(F65/$H65))+(-$BP65*(F65/$H65))),F65,AND(A65&gt;=DA$4,B65&gt;=DB$4,$BB65&gt;$BG65),BE65+($BF65*(F65/$H65))+(-$BP65*(F65/$H65)),AND(A65&gt;=DA$4,B65&gt;=DB$4,OR(A65&gt;DA$6, B65&gt;DB$6),$AP65-SUM($AW65,$AY65:$AZ65)&lt;0),BE65+($BF65*(F65/$H65))+(-$BP65*(F65/$H65))+(BP65*(F65/$H65)),AND(A65&gt;=DA$4,B65&gt;=DB$4,$AQ65-SUM($AW65,$AY65:$AZ65)&lt;0),BE65+($BF65*(F65/$H65))+(-$BP65*(F65/$H65))+(BP65*(F65/$H65)),AND(B65&gt;=DB$4,F65&lt;BE65+$BF65-$BP65),F65,AND(B65&gt;=DB$4,$AP65-SUM($AW65,$AY65:$AZ65)&lt;0),BE65+($BF65*(F65/$H65))+(-$BP65*(F65/$H65))+(BP65*(F65/$H65)),B65&gt;=DB$4,BE65+$BF65-$BP65)</f>
        <v>0</v>
      </c>
      <c r="BJ65" s="64" cm="1">
        <f t="array" ref="BJ65">IF(AW65+BA65+BG65&gt;0, AW65+BA65+BG65-_xlfn.IFS(AND(A65&gt;=65,B65&gt;=65),VLOOKUP(Setup!I$4,Lookups!C$133:F$136,4),OR(A65&gt;=65,B65&gt;=65),VLOOKUP(Setup!I$4,Lookups!C$133:E$136,3),AND(A65&lt;65,B65&lt;65),VLOOKUP(Setup!I$4,Lookups!C$133:D$136,2)),0)</f>
        <v>0</v>
      </c>
      <c r="BK65" s="1" cm="1">
        <f t="array" ref="BK65">IF(BJ65&gt;0,_xlfn.IFS(Setup!I$4=Lookups!D$109,-_xlfn.IFS($BJ65&gt;=Lookups!D$157, Lookups!F$157+($BJ65-Lookups!D$157)*Lookups!G$157,$BJ65&gt;=Lookups!D$156, Lookups!F$156+($BJ65-Lookups!D$156)*Lookups!G$156,$BJ65&gt;=Lookups!D$155, Lookups!F$155+($BJ65-Lookups!D$155)*Lookups!G$155,$BJ65&gt;=Lookups!D$154, Lookups!F$154+($BJ65-Lookups!D$154)*Lookups!G$154,$BJ65&gt;=Lookups!D$153, Lookups!F$153+($BJ65-Lookups!D$153)*Lookups!G$153,$BJ65&gt;=Lookups!D$152, Lookups!F$152+($BJ65-Lookups!D$152)*Lookups!G$152,$BJ65&lt;Lookups!D$152,$BJ65*Lookups!G$151),Setup!I$4=Lookups!D$110,-_xlfn.IFS($BJ65&gt;=Lookups!D$167, Lookups!F$167+($BJ65-Lookups!D$167)*Lookups!G$167,$BJ65&gt;=Lookups!D$166, Lookups!F$166+($BJ65-Lookups!D$166)*Lookups!G$166,$BJ65&gt;=Lookups!D$165, Lookups!F$165+($BJ65-Lookups!D$165)*Lookups!G$165,$BJ65&gt;=Lookups!D$164, Lookups!F$164+($BJ65-Lookups!D$164)*Lookups!G$164,$BJ65&gt;=Lookups!D$163, Lookups!F$163+($BJ65-Lookups!D$163)*Lookups!G$163,$BJ65&gt;=Lookups!D$162, Lookups!F$162+($BJ65-Lookups!D$162)*Lookups!G$162,$BJ65&lt;Lookups!D$162,$BJ65*Lookups!G$161),Setup!I$4=Lookups!D$111,-_xlfn.IFS($BJ65&gt;=Lookups!D$177, Lookups!F$177+($BJ65-Lookups!D$177)*Lookups!G$177,$BJ65&gt;=Lookups!D$176, Lookups!F$176+($BJ65-Lookups!D$176)*Lookups!G$176,$BJ65&gt;=Lookups!D$175, Lookups!F$175+($BJ65-Lookups!D$175)*Lookups!G$175,$BJ65&gt;=Lookups!D$174, Lookups!F$174+($BJ65-Lookups!D$174)*Lookups!G$174,$BJ65&gt;=Lookups!D$173, Lookups!F$173+($BJ65-Lookups!D$173)*Lookups!G$173,$BJ65&gt;=Lookups!D$172, Lookups!F$172+($BJ65-Lookups!D$172)*Lookups!G$172,$BJ65&lt;Lookups!D$172,$BJ65*Lookups!G$171), Setup!I$4=Lookups!D$112,-_xlfn.IFS($BJ65&gt;=Lookups!D$187, Lookups!F$187+($BJ65-Lookups!D$187)*Lookups!G$187,$BJ65&gt;=Lookups!D$186, Lookups!F$186+($BJ65-Lookups!D$186)*Lookups!G$186,$BJ65&gt;=Lookups!D$185, Lookups!F$185+($BJ65-Lookups!D$185)*Lookups!G$185,$BJ65&gt;=Lookups!D$184, Lookups!F$184+($BJ65-Lookups!D$184)*Lookups!G$184,$BJ65&gt;=Lookups!D$183, Lookups!F$183+($BJ65-Lookups!D$183)*Lookups!G$183,$BJ65&gt;=Lookups!D$182, Lookups!F$182+($BJ65-Lookups!D$182)*Lookups!G$182,$BJ65&lt;Lookups!D$182,$BJ65*Lookups!G$181)),0)</f>
        <v>0</v>
      </c>
      <c r="BL65" s="18">
        <f t="shared" si="54"/>
        <v>0</v>
      </c>
      <c r="BM65" s="134">
        <f t="shared" si="55"/>
        <v>0</v>
      </c>
      <c r="BN65" s="134" cm="1">
        <f t="array" aca="1" ref="BN65" ca="1">INDIRECT(Setup!I$6&amp;"!"&amp;"A"&amp;ROW())</f>
        <v>0</v>
      </c>
      <c r="BO65" s="134">
        <f t="shared" si="56"/>
        <v>0</v>
      </c>
      <c r="BP65" s="1">
        <f t="shared" si="57"/>
        <v>0</v>
      </c>
      <c r="BQ65" s="1">
        <f t="shared" si="58"/>
        <v>0</v>
      </c>
      <c r="BS65" s="1">
        <f t="shared" si="50"/>
        <v>0</v>
      </c>
      <c r="BT65" s="1" cm="1">
        <f t="array" ref="BT65">-IF(BS65&gt;0,_xlfn.IFS((AW65+BA65+BG65+BS65)&gt;=VLOOKUP(Setup!I$4,Lookups!C$210:E$213,3),BS65*Lookups!D$203,(AW65+BA65+BG65+BS65)&gt;=VLOOKUP(Setup!I$4,Lookups!C$210:E$213,2),BS65*Lookups!D$197,(AW65+BA65+BG65+BS65)&lt;VLOOKUP(Setup!I$4,Lookups!C$210:E$213,2),0),0)</f>
        <v>0</v>
      </c>
      <c r="BU65" s="18">
        <f t="shared" si="51"/>
        <v>0</v>
      </c>
      <c r="BV65" s="1">
        <f t="shared" si="52"/>
        <v>0</v>
      </c>
      <c r="BW65" s="1" cm="1">
        <f t="array" aca="1" ref="BW65" ca="1">INDIRECT(Setup!I$6&amp;"!"&amp;"A"&amp;ROW()+100)</f>
        <v>0</v>
      </c>
      <c r="BX65" s="1">
        <f t="shared" ca="1" si="44"/>
        <v>0</v>
      </c>
      <c r="BY65" s="1">
        <f t="shared" ca="1" si="45"/>
        <v>0</v>
      </c>
      <c r="CA65" s="1">
        <f t="shared" si="59"/>
        <v>0</v>
      </c>
      <c r="CC65" s="1" cm="1">
        <f t="array" ref="CC65">_xlfn.IFS(AND(A65&lt;$DA$4,B65&lt;$DB$4),0,AND(AND(A65&gt;=$DA$4,B65&gt;=$DB$4),AND(A65&lt;=$DA$6,B65&lt;=$DB$6),AND(BH65=0,BI65=0)),SUM(AW65,AY65:AZ65,BD65:BF65,BP65,BS65,CA65)-AQ65,AND(AND(A65&gt;=$DA$4,B65&gt;=$DB$4),AND(A65&lt;=$DA$6,B65&lt;=$DB$6)),SUM(AW65,AY65:AZ65,BD65:BF65,BS65,CA65)-AQ65,AND(OR(A65&gt;=$DA$4,B65&gt;=$DB$4),AND(BH65=0,BI65=0)),SUM(AW65,AY65:AZ65,BD65:BF65,BP65,BS65,CA65)-AP65,OR(A65&gt;=$DA$4,B65&gt;=$DB$4),SUM(AW65,AY65:AZ65,BD65:BF65,BS65,CA65)-AP65)</f>
        <v>0</v>
      </c>
      <c r="CD65" s="142" t="str">
        <f t="shared" si="30"/>
        <v/>
      </c>
    </row>
    <row r="66" spans="1:82" x14ac:dyDescent="0.3">
      <c r="A66" s="354">
        <f t="shared" si="62"/>
        <v>59</v>
      </c>
      <c r="B66" s="354">
        <f t="shared" si="63"/>
        <v>59</v>
      </c>
      <c r="C66" s="359">
        <f t="shared" si="33"/>
        <v>21551</v>
      </c>
      <c r="D66" s="326" cm="1">
        <f t="array" ref="D66">_xlfn.IFS(AND(A66&gt;DA$6,B66&gt;DB$6),0,AND(A66&gt;DA$3,A66&lt;=DA$4),D65*(1+DH$1),OR(A66&gt;DA$6,A66&gt;DA$4),(D65-BH65)*(1+DH$2),A66&lt;=DA$4,(D65*(1+DH$1))+(D$4))</f>
        <v>0</v>
      </c>
      <c r="E66" s="375"/>
      <c r="F66" s="326" cm="1">
        <f t="array" ref="F66">_xlfn.IFS(AND(A66&gt;DA$6,B66&gt;DB$6),0,AND(B66&gt;DB$3,B66&lt;=DB$4),F65*(1+DH$1),OR(B66&gt;DB$6,B66&gt;DB$4),(F65-BI65)*(1+DH$2),B66&lt;=DB$4,(F65*(1+DH$1))+(F$4))</f>
        <v>0</v>
      </c>
      <c r="G66" s="375"/>
      <c r="H66" s="1">
        <f t="shared" ref="H66:H76" si="65">SUM(D66,F66)</f>
        <v>0</v>
      </c>
      <c r="I66" s="2">
        <f t="shared" si="36"/>
        <v>0</v>
      </c>
      <c r="J66" s="14">
        <f t="shared" si="64"/>
        <v>0</v>
      </c>
      <c r="L66" s="402" cm="1">
        <f t="array" ref="L66">_xlfn.IFS(AND(A66&gt;DA$6,B66&gt;DB$6),0,A66&lt;DA$6,0,A66=DA$6,L$4,AND(A66&gt;DA$6,B66&lt;=DB$4),L65*(1+DH$1),AND(A66&gt;DA$6,B66&gt;DB$4),IF(Y65=0,0,(L65-((L65/Y65)*BY65))*(1+DH$2)))</f>
        <v>0</v>
      </c>
      <c r="M66" s="402" cm="1">
        <f t="array" ref="M66">_xlfn.IFS(AND(A66&gt;DA$6,B66&gt;DB$6),0,B66&lt;DB$6,0,B66=DB$6,M$4,AND(B66&gt;DB$6,A66&lt;=DA$4),M65*(1+DH$1),AND(A66&gt;DA$4,B66&gt;DB$6),IF(Y65=0,0,(M65-((M65/Y65)*BY65))*(1+DH$2)))</f>
        <v>0</v>
      </c>
      <c r="N66" s="327"/>
      <c r="O66" s="327" cm="1">
        <f t="array" ref="O66">_xlfn.IFS(OR(ISBLANK(Setup!C$63),Setup!C$63&gt;YEAR(C66),AND(A66&gt;DA$6,B66&gt;DB$6),ISBLANK(Y65)),0,Setup!C$63=YEAR(C66),Setup!C$62,AND(OR(A66&lt;=DA$4,B66&lt;=DB$4),Setup!C$63&lt;YEAR(C66)),O65*(1+DH$1),AND(A66&gt;DA$4,B66&gt;DB$4,Setup!C$63&lt;YEAR(C66)),IF(Y65=0,0,(O65-((O65/Y65)*BY65))*(1+DH$2)))</f>
        <v>0</v>
      </c>
      <c r="P66" s="327" cm="1">
        <f t="array" ref="P66">_xlfn.IFS(OR(ISBLANK(Setup!C$67),Setup!C$67&gt;YEAR(C66),AND(A66&gt;DA$6,B66&gt;DB$6)),0,Setup!C$67=YEAR(C66),Setup!C$66,AND(OR(A66&lt;=DA$4,B66&lt;=DB$4),Setup!C$67&lt;YEAR(C66)),P65*(1+DH$1),AND(A66&gt;DA$4,B66&gt;DB$4,Setup!C$67&lt;YEAR(C66)),IF(Y65=0,0,(P65-((P65/Y65)*BY65))*(1+DH$2)))</f>
        <v>0</v>
      </c>
      <c r="Q66" s="327" cm="1">
        <f t="array" ref="Q66">_xlfn.IFS(OR(ISBLANK(Setup!C$71),Setup!C$71&gt;YEAR(C66),AND(A66&gt;DA$6,B66&gt;DB$6)),0,Setup!C$71=YEAR(C66),Setup!C$70,AND(OR(A66&lt;=DA$4,B66&lt;=DB$4),Setup!C$71&lt;YEAR(C66)),Q65*(1+DH$1),AND(A66&gt;DA$4,B66&gt;DB$4,Setup!C$71&lt;YEAR(C66)),IF(Y65=0,0,(Q65-((Q65/Y65)*BY65))*(1+DH$2)))</f>
        <v>0</v>
      </c>
      <c r="R66" s="327" cm="1">
        <f t="array" ref="R66">_xlfn.IFS(OR(ISBLANK(Setup!C$75),Setup!C$75&gt;YEAR(C66),AND(A66&gt;DA$6,B66&gt;DB$6)),0,Setup!C$75=YEAR(C66),Setup!C$74,AND(OR(A66&lt;=DA$4,B66&lt;=DB$4),Setup!C$75&lt;YEAR(C66)),R65*(1+DH$1),AND(A66&gt;DA$4,B66&gt;DB$4,Setup!C$75&lt;YEAR(C66)),IF(Y65=0,0,(R65-((R65/Y65)*BY65))*(1+DH$2)))</f>
        <v>0</v>
      </c>
      <c r="S66" s="327"/>
      <c r="T66" s="326" cm="1">
        <f t="array" ref="T66">_xlfn.IFS(AND($A66&gt;$DA$6,$B66&gt;$DB$6),0,AND($W$2=$DA$2,$A66&gt;$DA$4),IF($Y65=0,0,(T65-((T65/$Y65)*$BY65))*(1+$DH$2)),AND($W$2=$DB$2,$B66&gt;$DB$4),IF($Y65=0,0,(T65-((T65/$Y65)*$BY65))*(1+$DH$2)),AND($W$2=$DA$2,OR($A66&gt;$DA$3,$A66&gt;$DA$6)),(T65*(1+$DH$1)),AND($W$2=$DB$2,OR($B66&gt;$DB$3,$B66&gt;$DB$6)),(T65*(1+$DH$1)),AND($W$2=$DA$2,$A66&lt;=$DA$3,$A66&lt;=$DA$4,$A66&lt;=$DA$5),(T65*(1+$DH$1))+(T$4),AND($W$2=$DB$2,$B66&lt;=$DB$3,$B66&lt;=$DB$4,$B66&lt;=$DB$5),(T65*(1+$DH$1))+(T$4))</f>
        <v>0</v>
      </c>
      <c r="U66" s="326" cm="1">
        <f t="array" ref="U66">_xlfn.IFS(AND($A66&gt;$DA$6,$B66&gt;$DB$6),0,AND($W$2=$DA$2,$A66&gt;$DA$4),IF($Y65=0,0,(U65-((U65/$Y65)*$BY65))*(1+$DH$2)),AND($W$2=$DB$2,$B66&gt;$DB$4),IF($Y65=0,0,(U65-((U65/$Y65)*$BY65))*(1+$DH$2)),AND($W$2=$DA$2,OR($A66&gt;$DA$3,$A66&gt;$DA$6)),(U65*(1+$DH$1)),AND($W$2=$DB$2,OR($B66&gt;$DB$3,$B66&gt;$DB$6)),(U65*(1+$DH$1)),AND($W$2=$DA$2,$A66&lt;=$DA$3,$A66&lt;=$DA$4,$A66&lt;=$DA$5),(U65*(1+$DH$1))+(U$4),AND($W$2=$DB$2,$B66&lt;=$DB$3,$B66&lt;=$DB$4,$B66&lt;=$DB$5),(U65*(1+$DH$1))+(U$4))</f>
        <v>0</v>
      </c>
      <c r="V66" s="326" cm="1">
        <f t="array" ref="V66">_xlfn.IFS(AND($A66&gt;$DA$6,$B66&gt;$DB$6),0,AND($W$2=$DA$2,$A66&gt;$DA$4),IF($Y65=0,0,(V65-((V65/$Y65)*$BY65))*(1+$DH$2)),AND($W$2=$DB$2,$B66&gt;$DB$4),IF($Y65=0,0,(V65-((V65/$Y65)*$BY65))*(1+$DH$2)),AND($W$2=$DA$2,OR($A66&gt;$DA$3,$A66&gt;$DA$6)),(V65*(1+$DH$1)),AND($W$2=$DB$2,OR($B66&gt;$DB$3,$B66&gt;$DB$6)),(V65*(1+$DH$1)),AND($W$2=$DA$2,$A66&lt;=$DA$3,$A66&lt;=$DA$4,$A66&lt;=$DA$5),(V65*(1+$DH$1))+(V$4),AND($W$2=$DB$2,$B66&lt;=$DB$3,$B66&lt;=$DB$4,$B66&lt;=$DB$5),(V65*(1+$DH$1))+(V$4))</f>
        <v>0</v>
      </c>
      <c r="W66" s="326" cm="1">
        <f t="array" ref="W66">_xlfn.IFS(AND($A66&gt;$DA$6,$B66&gt;$DB$6),0,AND($W$2=$DA$2,$A66&gt;$DA$4),IF($Y65=0,0,(W65-((W65/$Y65)*$BY65))*(1+$DH$2)),AND($W$2=$DB$2,$B66&gt;$DB$4),IF($Y65=0,0,(W65-((W65/$Y65)*$BY65))*(1+$DH$2)),AND($W$2=$DA$2,OR($A66&gt;$DA$3,$A66&gt;$DA$6)),(W65*(1+$DH$1)),AND($W$2=$DB$2,OR($B66&gt;$DB$3,$B66&gt;$DB$6)),(W65*(1+$DH$1)),AND($W$2=$DA$2,$A66&lt;=$DA$3,$A66&lt;=$DA$4,$A66&lt;=$DA$5),(W65*(1+$DH$1))+(W$4),AND($W$2=$DB$2,$B66&lt;=$DB$3,$B66&lt;=$DB$4,$B66&lt;=$DB$5),(W65*(1+$DH$1))+(W$4))</f>
        <v>0</v>
      </c>
      <c r="Y66" s="1">
        <f t="shared" si="47"/>
        <v>0</v>
      </c>
      <c r="Z66" s="2">
        <f t="shared" si="37"/>
        <v>0</v>
      </c>
      <c r="AA66" s="375"/>
      <c r="AC66" s="326" cm="1">
        <f t="array" ref="AC66">_xlfn.IFS(AND(A66&gt;DA$6,B66&gt;DB$6),0,AND(A66&gt;DA$4,B66&gt;DB$4),IF(AG65=0,0,(AC65-((AC65/AG65)*CA65))*(1+DH$2)),OR(A66&gt;DA$3,A66&gt;DA$6),AC65*(1+DH$1),A66&gt;DA$4,(AC65-CA65)*(1+DH$2),AND(A66&lt;=DA$3,A66&lt;=DA$4,A66&lt;=DA$6),(AC65*(1+DH$1))+(AC$4))</f>
        <v>0</v>
      </c>
      <c r="AD66" s="375"/>
      <c r="AE66" s="326" cm="1">
        <f t="array" ref="AE66">_xlfn.IFS(AND(A66&gt;DA$6,B66&gt;DB$6),0,AND(A66&gt;DA$4,B66&gt;DB$4),IF(AG65=0,0,(AE65-((AE65/AG65)*CA65))*(1+DH$2)),OR(B66&gt;DB$3,B66&gt;DB$6),AE65*(1+DH$1),B66&gt;DB$4,(AE65-CA65)*(1+DH$2),AND(B66&lt;=DB$3,B66&lt;=DB$4,B66&lt;=DB$6),(AE65*(1+DH$1))+(AE$4))</f>
        <v>0</v>
      </c>
      <c r="AF66" s="375"/>
      <c r="AG66" s="1">
        <f t="shared" si="61"/>
        <v>0</v>
      </c>
      <c r="AH66" s="2">
        <f t="shared" si="48"/>
        <v>0</v>
      </c>
      <c r="AI66" s="14">
        <f t="shared" si="38"/>
        <v>0</v>
      </c>
      <c r="AK66" s="1">
        <f t="shared" si="49"/>
        <v>0</v>
      </c>
      <c r="AL66" s="14">
        <f t="shared" si="39"/>
        <v>0</v>
      </c>
      <c r="AM66" s="14" t="str">
        <f t="shared" si="23"/>
        <v/>
      </c>
      <c r="AO66" s="15">
        <f t="shared" si="40"/>
        <v>0</v>
      </c>
      <c r="AP66" s="1">
        <f>IF(AND(B66&gt;=$DB$6,A66&gt;=$DA$6),0,AP65*(1+Lookups!C$12))</f>
        <v>0</v>
      </c>
      <c r="AQ66" s="1">
        <f>IF(AND(B66&gt;=$DB$6,A66&gt;=$DA$6),0,AQ65*(1+Lookups!C$12))</f>
        <v>0</v>
      </c>
      <c r="AS66" s="1" cm="1">
        <f t="array" ref="AS66">_xlfn.IFS(OR(AS$6="",AND(A66&gt;=DA$6,B66&gt;=DB$6),AND(A66&lt;DA$4,B66&lt;DB$4)),0,AND(A66=DA$4,DA$4&lt;=DB$4),AS$6,AND(B66=DB$4,DA$4&gt;=DB$4),AS$6,OR(A66&gt;DA$4,B66&gt;DB$4),AS65*(1+Setup!C$103))</f>
        <v>0</v>
      </c>
      <c r="AT66" s="1" cm="1">
        <f t="array" ref="AT66">_xlfn.IFS(OR(AT$6="",AND(A66&gt;=DA$6,B66&gt;=DB$6),AND(A66&lt;DA$4,B66&lt;DB$4)),0,AND(A66=DA$4,DA$4&lt;=DB$4),AT$6,AND(B66=DB$4,DA$4&gt;=DB$4),AT$6,OR(A66&gt;DA$4,B66&gt;DB$4),AT65*(1+Setup!C$103))</f>
        <v>0</v>
      </c>
      <c r="AU66" s="1" cm="1">
        <f t="array" ref="AU66">_xlfn.IFS(OR(AU$6="",AND(A66&gt;=DA$6,B66&gt;=DB$6),AND(A66&lt;DA$4,B66&lt;DB$4)),0,AND(A66=DA$4,DA$4&lt;=DB$4),AU$6,AND(B66=DB$4,DA$4&gt;=DB$4),AU$6,OR(A66&gt;DA$4,B66&gt;DB$4),AU65*(1+Setup!C$103))</f>
        <v>0</v>
      </c>
      <c r="AV66" s="1" cm="1">
        <f t="array" ref="AV66">_xlfn.IFS(OR(AV$6="",AND(A66&gt;=DA$6,B66&gt;=DB$6),AND(A66&lt;DA$4,B66&lt;DB$4)),0,AND(A66=DA$4,DA$4&lt;=DB$4),AV$6,AND(B66=DB$4,DA$4&gt;=DB$4),AV$6,OR(A66&gt;DA$4,B66&gt;DB$4),AV65*(1+Setup!C$103))</f>
        <v>0</v>
      </c>
      <c r="AW66" s="1">
        <f t="shared" si="41"/>
        <v>0</v>
      </c>
      <c r="AY66" s="1" cm="1">
        <f t="array" ref="AY66">_xlfn.IFS(OR(AND(A66&gt;=DA$6,B66&gt;=DB$6),A66&lt;DA$5),0,AND(A66=DA$5,YEAR(C66)&gt;=Lookups!D$89),VLOOKUP(A66,Lookups!B$94:F$102,3),AND(A66=DA$5,YEAR(C66)&lt;Lookups!D$89),VLOOKUP(A66,Lookups!B$94:F$102,2),AND(A66&gt;DA$5,YEAR(C66)=Lookups!D$89),(AY65*Lookups!D$90)*(1+Lookups!C$20),AND(A66&gt;DA$5,YEAR(C66)&lt;&gt;Lookups!D$89),AY65*(1+Lookups!C$20))</f>
        <v>0</v>
      </c>
      <c r="AZ66" s="1" cm="1">
        <f t="array" ref="AZ66">_xlfn.IFS(OR(ISBLANK(Setup!K$91),Setup!K$91=0,AND(A66&gt;=DA$6,B66&gt;=DB$6),B66&lt;DB$5),0,AND(B66=DB$5,YEAR(C66)&gt;=Lookups!D$89),VLOOKUP(B66,Lookups!B$94:F$102,5),AND(B66=DB$5,YEAR(C66)&lt;Lookups!D$89),VLOOKUP(B66,Lookups!B$94:F$102,4),AND(B66&gt;DB$5,YEAR(C66)=Lookups!D$89),(AZ65*Lookups!D$90)*(1+Lookups!C$20),AND(B66&gt;DB$5,YEAR(C66)&lt;&gt;Lookups!D$89),AZ65*(1+Lookups!C$20))</f>
        <v>0</v>
      </c>
      <c r="BA66" s="65">
        <f>IF(OR(AY66&gt;0,AZ66&gt;0),(AY66+AZ66)*Lookups!D$120,0)</f>
        <v>0</v>
      </c>
      <c r="BB66" s="1" cm="1">
        <f t="array" ref="BB66">_xlfn.IFS(AND(A66&lt;DA$4,B66&lt;DB$4),0,OR(_xlfn.XOR(A66&gt;DA$6,B66&gt;DB$6),_xlfn.XOR(A66&gt;=DA$4,B66&gt;=DB$4)),IF(AP66-SUM(AW66,AY66:AZ66)&gt;0,AP66-SUM(AW66,AY66:AZ66),0),AQ66-SUM(AW66,AY66:AZ66)&gt;0, AQ66-SUM(AW66,AY66:AZ66),AQ66-SUM(AW66,AY66:AZ66)&lt;=0,0)</f>
        <v>0</v>
      </c>
      <c r="BD66" s="1" cm="1">
        <f t="array" ref="BD66">_xlfn.IFS(AND(A66&gt;=DA$6,B66&gt;=DB$6),0,AND(A66&gt;=DA$6,B66&gt;=Lookups!C$35),D66/VLOOKUP(B66,Lookups!C$37:D$67,2),A66&lt;Lookups!$C$35,0,A66&gt;=Lookups!C$35,D66/VLOOKUP(A66,Lookups!C$37:D$67,2))</f>
        <v>0</v>
      </c>
      <c r="BE66" s="1" cm="1">
        <f t="array" ref="BE66">_xlfn.IFS(AND(A66&gt;=DA$6,B66&gt;=DB$6),0,AND(B66&gt;=DB$6,A66&gt;=Lookups!C$35),F66/VLOOKUP(A66,Lookups!C$37:D$67,2),B66&lt;Lookups!$C$35,0,B66&gt;=Lookups!C$35,F66/VLOOKUP(B66,Lookups!C$37:D$67,2))</f>
        <v>0</v>
      </c>
      <c r="BF66" s="1" cm="1">
        <f t="array" ref="BF66">_xlfn.IFS($BB66&lt;=0,0,AND(A66&gt;=DA$4,B66&gt;=DB$4,$BB66*I66&lt;(BD66+BE66)),0,AND(A66&gt;=DA$4,B66&gt;=DB$4,H66&gt;=(BB66*I66)-BD66-BE66),(BB66*I66)-BD66-BE66,AND(A66&gt;=DA$4,B66&gt;=DB$4,H66&lt;(BB66*I66)-BD66-BE66),H66,AND(A66&gt;=DA$4,$BB66*I66&lt;(BD66)),0,AND(A66&gt;=DA$4,H66&gt;=(BB66*I66)-BD66),(BB66*I66)-BD66,AND(A66&gt;=DA$4,H66&lt;(BB66*I66)-BD66),H66,AND(B66&gt;=DB$4,$BB66*I66&lt;(BE66)),0,AND(B66&gt;=DB$4,H66&gt;=(BB66*I66)-BE66),(BB66*I66)-BE66,AND(B66&gt;=DB$4,H66&lt;(BB66*I66)-BE66),H66)</f>
        <v>0</v>
      </c>
      <c r="BG66" s="1">
        <f t="shared" ref="BG66:BG92" si="66">SUM(BD66:BF66)</f>
        <v>0</v>
      </c>
      <c r="BH66" s="1" cm="1">
        <f t="array" ref="BH66">_xlfn.IFS(OR(D66=0,A66&lt;DA$4),0,AND(A66&gt;=DA$4,B66&gt;=DB$4,D66&lt;BD66+($BF66*(D66/$H66))+(-$BP66*(D66/$H66))),D66,AND(A66&gt;=DA$4,B66&gt;=DB$4,$BB66&gt;$BG66),BD66+($BF66*(D66/$H66))+(-$BP66*(D66/$H66)),AND(A66&gt;=DA$4,B66&gt;=DB$4,OR(A66&gt;DA$6, B66&gt;DB$6),$AP66-SUM($AW66,$AY66:$AZ66)&lt;0),BD66+($BF66*(D66/$H66))+(-$BP66*(D66/$H66))+(BP66*(D66/$H66)),AND(A66&gt;=DA$4,B66&gt;=DB$4,$AQ66-SUM($AW66,$AY66:$AZ66)&lt;0),BD66+($BF66*(D66/$H66))+(-$BP66*(D66/$H66))+(BP66*(D66/$H66)),AND(A66&gt;=DA$4,D66&lt;BD66+$BF66-$BP66),D66,AND(A66&gt;=DA$4,$AP66-SUM($AW66,$AY66:$AZ66)&lt;0),BD66+($BF66*(D66/$H66))+(-$BP66*(D66/$H66))+(BP66*(D66/$H66)),A66&gt;=DA$4,BD66+$BF66-$BP66)</f>
        <v>0</v>
      </c>
      <c r="BI66" s="1" cm="1">
        <f t="array" ref="BI66">_xlfn.IFS(OR(F66=0,B66&lt;DB$4),0,AND(A66&gt;=DA$4,B66&gt;=DB$4,F66&lt;BE66+($BF66*(F66/$H66))+(-$BP66*(F66/$H66))),F66,AND(A66&gt;=DA$4,B66&gt;=DB$4,$BB66&gt;$BG66),BE66+($BF66*(F66/$H66))+(-$BP66*(F66/$H66)),AND(A66&gt;=DA$4,B66&gt;=DB$4,OR(A66&gt;DA$6, B66&gt;DB$6),$AP66-SUM($AW66,$AY66:$AZ66)&lt;0),BE66+($BF66*(F66/$H66))+(-$BP66*(F66/$H66))+(BP66*(F66/$H66)),AND(A66&gt;=DA$4,B66&gt;=DB$4,$AQ66-SUM($AW66,$AY66:$AZ66)&lt;0),BE66+($BF66*(F66/$H66))+(-$BP66*(F66/$H66))+(BP66*(F66/$H66)),AND(B66&gt;=DB$4,F66&lt;BE66+$BF66-$BP66),F66,AND(B66&gt;=DB$4,$AP66-SUM($AW66,$AY66:$AZ66)&lt;0),BE66+($BF66*(F66/$H66))+(-$BP66*(F66/$H66))+(BP66*(F66/$H66)),B66&gt;=DB$4,BE66+$BF66-$BP66)</f>
        <v>0</v>
      </c>
      <c r="BJ66" s="64" cm="1">
        <f t="array" ref="BJ66">IF(AW66+BA66+BG66&gt;0, AW66+BA66+BG66-_xlfn.IFS(AND(A66&gt;=65,B66&gt;=65),VLOOKUP(Setup!I$4,Lookups!C$133:F$136,4),OR(A66&gt;=65,B66&gt;=65),VLOOKUP(Setup!I$4,Lookups!C$133:E$136,3),AND(A66&lt;65,B66&lt;65),VLOOKUP(Setup!I$4,Lookups!C$133:D$136,2)),0)</f>
        <v>0</v>
      </c>
      <c r="BK66" s="1" cm="1">
        <f t="array" ref="BK66">IF(BJ66&gt;0,_xlfn.IFS(Setup!I$4=Lookups!D$109,-_xlfn.IFS($BJ66&gt;=Lookups!D$157, Lookups!F$157+($BJ66-Lookups!D$157)*Lookups!G$157,$BJ66&gt;=Lookups!D$156, Lookups!F$156+($BJ66-Lookups!D$156)*Lookups!G$156,$BJ66&gt;=Lookups!D$155, Lookups!F$155+($BJ66-Lookups!D$155)*Lookups!G$155,$BJ66&gt;=Lookups!D$154, Lookups!F$154+($BJ66-Lookups!D$154)*Lookups!G$154,$BJ66&gt;=Lookups!D$153, Lookups!F$153+($BJ66-Lookups!D$153)*Lookups!G$153,$BJ66&gt;=Lookups!D$152, Lookups!F$152+($BJ66-Lookups!D$152)*Lookups!G$152,$BJ66&lt;Lookups!D$152,$BJ66*Lookups!G$151),Setup!I$4=Lookups!D$110,-_xlfn.IFS($BJ66&gt;=Lookups!D$167, Lookups!F$167+($BJ66-Lookups!D$167)*Lookups!G$167,$BJ66&gt;=Lookups!D$166, Lookups!F$166+($BJ66-Lookups!D$166)*Lookups!G$166,$BJ66&gt;=Lookups!D$165, Lookups!F$165+($BJ66-Lookups!D$165)*Lookups!G$165,$BJ66&gt;=Lookups!D$164, Lookups!F$164+($BJ66-Lookups!D$164)*Lookups!G$164,$BJ66&gt;=Lookups!D$163, Lookups!F$163+($BJ66-Lookups!D$163)*Lookups!G$163,$BJ66&gt;=Lookups!D$162, Lookups!F$162+($BJ66-Lookups!D$162)*Lookups!G$162,$BJ66&lt;Lookups!D$162,$BJ66*Lookups!G$161),Setup!I$4=Lookups!D$111,-_xlfn.IFS($BJ66&gt;=Lookups!D$177, Lookups!F$177+($BJ66-Lookups!D$177)*Lookups!G$177,$BJ66&gt;=Lookups!D$176, Lookups!F$176+($BJ66-Lookups!D$176)*Lookups!G$176,$BJ66&gt;=Lookups!D$175, Lookups!F$175+($BJ66-Lookups!D$175)*Lookups!G$175,$BJ66&gt;=Lookups!D$174, Lookups!F$174+($BJ66-Lookups!D$174)*Lookups!G$174,$BJ66&gt;=Lookups!D$173, Lookups!F$173+($BJ66-Lookups!D$173)*Lookups!G$173,$BJ66&gt;=Lookups!D$172, Lookups!F$172+($BJ66-Lookups!D$172)*Lookups!G$172,$BJ66&lt;Lookups!D$172,$BJ66*Lookups!G$171), Setup!I$4=Lookups!D$112,-_xlfn.IFS($BJ66&gt;=Lookups!D$187, Lookups!F$187+($BJ66-Lookups!D$187)*Lookups!G$187,$BJ66&gt;=Lookups!D$186, Lookups!F$186+($BJ66-Lookups!D$186)*Lookups!G$186,$BJ66&gt;=Lookups!D$185, Lookups!F$185+($BJ66-Lookups!D$185)*Lookups!G$185,$BJ66&gt;=Lookups!D$184, Lookups!F$184+($BJ66-Lookups!D$184)*Lookups!G$184,$BJ66&gt;=Lookups!D$183, Lookups!F$183+($BJ66-Lookups!D$183)*Lookups!G$183,$BJ66&gt;=Lookups!D$182, Lookups!F$182+($BJ66-Lookups!D$182)*Lookups!G$182,$BJ66&lt;Lookups!D$182,$BJ66*Lookups!G$181)),0)</f>
        <v>0</v>
      </c>
      <c r="BL66" s="18">
        <f t="shared" si="42"/>
        <v>0</v>
      </c>
      <c r="BM66" s="134">
        <f t="shared" ref="BM66:BM86" si="67">IF(BK66=0,0,(BK66*BL66^2)+(BK66*BL66^3)+(BK66*BL66^4)+(BK66*BL66^5)+(BK66*BL66^6)+(BK66*BL66^7)+(BK66*BL66^8)+(BK66*BL66^9)+(BK66*BL66^10))</f>
        <v>0</v>
      </c>
      <c r="BN66" s="134" cm="1">
        <f t="array" aca="1" ref="BN66" ca="1">INDIRECT(Setup!I$6&amp;"!"&amp;"A"&amp;ROW())</f>
        <v>0</v>
      </c>
      <c r="BO66" s="134">
        <f t="shared" si="25"/>
        <v>0</v>
      </c>
      <c r="BP66" s="1">
        <f t="shared" si="43"/>
        <v>0</v>
      </c>
      <c r="BQ66" s="1">
        <f t="shared" si="26"/>
        <v>0</v>
      </c>
      <c r="BS66" s="1">
        <f t="shared" si="50"/>
        <v>0</v>
      </c>
      <c r="BT66" s="1" cm="1">
        <f t="array" ref="BT66">-IF(BS66&gt;0,_xlfn.IFS((AW66+BA66+BG66+BS66)&gt;=VLOOKUP(Setup!I$4,Lookups!C$210:E$213,3),BS66*Lookups!D$203,(AW66+BA66+BG66+BS66)&gt;=VLOOKUP(Setup!I$4,Lookups!C$210:E$213,2),BS66*Lookups!D$197,(AW66+BA66+BG66+BS66)&lt;VLOOKUP(Setup!I$4,Lookups!C$210:E$213,2),0),0)</f>
        <v>0</v>
      </c>
      <c r="BU66" s="18">
        <f t="shared" si="51"/>
        <v>0</v>
      </c>
      <c r="BV66" s="1">
        <f t="shared" si="52"/>
        <v>0</v>
      </c>
      <c r="BW66" s="1" cm="1">
        <f t="array" aca="1" ref="BW66" ca="1">INDIRECT(Setup!I$6&amp;"!"&amp;"A"&amp;ROW()+100)</f>
        <v>0</v>
      </c>
      <c r="BX66" s="1">
        <f t="shared" ca="1" si="44"/>
        <v>0</v>
      </c>
      <c r="BY66" s="1">
        <f t="shared" ca="1" si="45"/>
        <v>0</v>
      </c>
      <c r="CA66" s="1">
        <f t="shared" si="59"/>
        <v>0</v>
      </c>
      <c r="CC66" s="1" cm="1">
        <f t="array" ref="CC66">_xlfn.IFS(AND(A66&lt;$DA$4,B66&lt;$DB$4),0,AND(AND(A66&gt;=$DA$4,B66&gt;=$DB$4),AND(A66&lt;=$DA$6,B66&lt;=$DB$6),AND(BH66=0,BI66=0)),SUM(AW66,AY66:AZ66,BD66:BF66,BP66,BS66,CA66)-AQ66,AND(AND(A66&gt;=$DA$4,B66&gt;=$DB$4),AND(A66&lt;=$DA$6,B66&lt;=$DB$6)),SUM(AW66,AY66:AZ66,BD66:BF66,BS66,CA66)-AQ66,AND(OR(A66&gt;=$DA$4,B66&gt;=$DB$4),AND(BH66=0,BI66=0)),SUM(AW66,AY66:AZ66,BD66:BF66,BP66,BS66,CA66)-AP66,OR(A66&gt;=$DA$4,B66&gt;=$DB$4),SUM(AW66,AY66:AZ66,BD66:BF66,BS66,CA66)-AP66)</f>
        <v>0</v>
      </c>
      <c r="CD66" s="142" t="str">
        <f t="shared" si="30"/>
        <v/>
      </c>
    </row>
    <row r="67" spans="1:82" x14ac:dyDescent="0.3">
      <c r="A67" s="354">
        <f t="shared" si="62"/>
        <v>60</v>
      </c>
      <c r="B67" s="354">
        <f t="shared" si="63"/>
        <v>60</v>
      </c>
      <c r="C67" s="359">
        <f t="shared" si="33"/>
        <v>21916</v>
      </c>
      <c r="D67" s="326" cm="1">
        <f t="array" ref="D67">_xlfn.IFS(AND(A67&gt;DA$6,B67&gt;DB$6),0,AND(A67&gt;DA$3,A67&lt;=DA$4),D66*(1+DH$1),OR(A67&gt;DA$6,A67&gt;DA$4),(D66-BH66)*(1+DH$2),A67&lt;=DA$4,(D66*(1+DH$1))+(D$4))</f>
        <v>0</v>
      </c>
      <c r="E67" s="375"/>
      <c r="F67" s="326" cm="1">
        <f t="array" ref="F67">_xlfn.IFS(AND(A67&gt;DA$6,B67&gt;DB$6),0,AND(B67&gt;DB$3,B67&lt;=DB$4),F66*(1+DH$1),OR(B67&gt;DB$6,B67&gt;DB$4),(F66-BI66)*(1+DH$2),B67&lt;=DB$4,(F66*(1+DH$1))+(F$4))</f>
        <v>0</v>
      </c>
      <c r="G67" s="375"/>
      <c r="H67" s="1">
        <f t="shared" si="65"/>
        <v>0</v>
      </c>
      <c r="I67" s="2">
        <f t="shared" si="36"/>
        <v>0</v>
      </c>
      <c r="J67" s="14">
        <f t="shared" si="64"/>
        <v>0</v>
      </c>
      <c r="L67" s="402" cm="1">
        <f t="array" ref="L67">_xlfn.IFS(AND(A67&gt;DA$6,B67&gt;DB$6),0,A67&lt;DA$6,0,A67=DA$6,L$4,AND(A67&gt;DA$6,B67&lt;=DB$4),L66*(1+DH$1),AND(A67&gt;DA$6,B67&gt;DB$4),IF(Y66=0,0,(L66-((L66/Y66)*BY66))*(1+DH$2)))</f>
        <v>0</v>
      </c>
      <c r="M67" s="402" cm="1">
        <f t="array" ref="M67">_xlfn.IFS(AND(A67&gt;DA$6,B67&gt;DB$6),0,B67&lt;DB$6,0,B67=DB$6,M$4,AND(B67&gt;DB$6,A67&lt;=DA$4),M66*(1+DH$1),AND(A67&gt;DA$4,B67&gt;DB$6),IF(Y66=0,0,(M66-((M66/Y66)*BY66))*(1+DH$2)))</f>
        <v>0</v>
      </c>
      <c r="N67" s="327"/>
      <c r="O67" s="327" cm="1">
        <f t="array" ref="O67">_xlfn.IFS(OR(ISBLANK(Setup!C$63),Setup!C$63&gt;YEAR(C67),AND(A67&gt;DA$6,B67&gt;DB$6),ISBLANK(Y66)),0,Setup!C$63=YEAR(C67),Setup!C$62,AND(OR(A67&lt;=DA$4,B67&lt;=DB$4),Setup!C$63&lt;YEAR(C67)),O66*(1+DH$1),AND(A67&gt;DA$4,B67&gt;DB$4,Setup!C$63&lt;YEAR(C67)),IF(Y66=0,0,(O66-((O66/Y66)*BY66))*(1+DH$2)))</f>
        <v>0</v>
      </c>
      <c r="P67" s="327" cm="1">
        <f t="array" ref="P67">_xlfn.IFS(OR(ISBLANK(Setup!C$67),Setup!C$67&gt;YEAR(C67),AND(A67&gt;DA$6,B67&gt;DB$6)),0,Setup!C$67=YEAR(C67),Setup!C$66,AND(OR(A67&lt;=DA$4,B67&lt;=DB$4),Setup!C$67&lt;YEAR(C67)),P66*(1+DH$1),AND(A67&gt;DA$4,B67&gt;DB$4,Setup!C$67&lt;YEAR(C67)),IF(Y66=0,0,(P66-((P66/Y66)*BY66))*(1+DH$2)))</f>
        <v>0</v>
      </c>
      <c r="Q67" s="327" cm="1">
        <f t="array" ref="Q67">_xlfn.IFS(OR(ISBLANK(Setup!C$71),Setup!C$71&gt;YEAR(C67),AND(A67&gt;DA$6,B67&gt;DB$6)),0,Setup!C$71=YEAR(C67),Setup!C$70,AND(OR(A67&lt;=DA$4,B67&lt;=DB$4),Setup!C$71&lt;YEAR(C67)),Q66*(1+DH$1),AND(A67&gt;DA$4,B67&gt;DB$4,Setup!C$71&lt;YEAR(C67)),IF(Y66=0,0,(Q66-((Q66/Y66)*BY66))*(1+DH$2)))</f>
        <v>0</v>
      </c>
      <c r="R67" s="327" cm="1">
        <f t="array" ref="R67">_xlfn.IFS(OR(ISBLANK(Setup!C$75),Setup!C$75&gt;YEAR(C67),AND(A67&gt;DA$6,B67&gt;DB$6)),0,Setup!C$75=YEAR(C67),Setup!C$74,AND(OR(A67&lt;=DA$4,B67&lt;=DB$4),Setup!C$75&lt;YEAR(C67)),R66*(1+DH$1),AND(A67&gt;DA$4,B67&gt;DB$4,Setup!C$75&lt;YEAR(C67)),IF(Y66=0,0,(R66-((R66/Y66)*BY66))*(1+DH$2)))</f>
        <v>0</v>
      </c>
      <c r="S67" s="327"/>
      <c r="T67" s="326" cm="1">
        <f t="array" ref="T67">_xlfn.IFS(AND($A67&gt;$DA$6,$B67&gt;$DB$6),0,AND($W$2=$DA$2,$A67&gt;$DA$4),IF($Y66=0,0,(T66-((T66/$Y66)*$BY66))*(1+$DH$2)),AND($W$2=$DB$2,$B67&gt;$DB$4),IF($Y66=0,0,(T66-((T66/$Y66)*$BY66))*(1+$DH$2)),AND($W$2=$DA$2,OR($A67&gt;$DA$3,$A67&gt;$DA$6)),(T66*(1+$DH$1)),AND($W$2=$DB$2,OR($B67&gt;$DB$3,$B67&gt;$DB$6)),(T66*(1+$DH$1)),AND($W$2=$DA$2,$A67&lt;=$DA$3,$A67&lt;=$DA$4,$A67&lt;=$DA$5),(T66*(1+$DH$1))+(T$4),AND($W$2=$DB$2,$B67&lt;=$DB$3,$B67&lt;=$DB$4,$B67&lt;=$DB$5),(T66*(1+$DH$1))+(T$4))</f>
        <v>0</v>
      </c>
      <c r="U67" s="326" cm="1">
        <f t="array" ref="U67">_xlfn.IFS(AND($A67&gt;$DA$6,$B67&gt;$DB$6),0,AND($W$2=$DA$2,$A67&gt;$DA$4),IF($Y66=0,0,(U66-((U66/$Y66)*$BY66))*(1+$DH$2)),AND($W$2=$DB$2,$B67&gt;$DB$4),IF($Y66=0,0,(U66-((U66/$Y66)*$BY66))*(1+$DH$2)),AND($W$2=$DA$2,OR($A67&gt;$DA$3,$A67&gt;$DA$6)),(U66*(1+$DH$1)),AND($W$2=$DB$2,OR($B67&gt;$DB$3,$B67&gt;$DB$6)),(U66*(1+$DH$1)),AND($W$2=$DA$2,$A67&lt;=$DA$3,$A67&lt;=$DA$4,$A67&lt;=$DA$5),(U66*(1+$DH$1))+(U$4),AND($W$2=$DB$2,$B67&lt;=$DB$3,$B67&lt;=$DB$4,$B67&lt;=$DB$5),(U66*(1+$DH$1))+(U$4))</f>
        <v>0</v>
      </c>
      <c r="V67" s="326" cm="1">
        <f t="array" ref="V67">_xlfn.IFS(AND($A67&gt;$DA$6,$B67&gt;$DB$6),0,AND($W$2=$DA$2,$A67&gt;$DA$4),IF($Y66=0,0,(V66-((V66/$Y66)*$BY66))*(1+$DH$2)),AND($W$2=$DB$2,$B67&gt;$DB$4),IF($Y66=0,0,(V66-((V66/$Y66)*$BY66))*(1+$DH$2)),AND($W$2=$DA$2,OR($A67&gt;$DA$3,$A67&gt;$DA$6)),(V66*(1+$DH$1)),AND($W$2=$DB$2,OR($B67&gt;$DB$3,$B67&gt;$DB$6)),(V66*(1+$DH$1)),AND($W$2=$DA$2,$A67&lt;=$DA$3,$A67&lt;=$DA$4,$A67&lt;=$DA$5),(V66*(1+$DH$1))+(V$4),AND($W$2=$DB$2,$B67&lt;=$DB$3,$B67&lt;=$DB$4,$B67&lt;=$DB$5),(V66*(1+$DH$1))+(V$4))</f>
        <v>0</v>
      </c>
      <c r="W67" s="326" cm="1">
        <f t="array" ref="W67">_xlfn.IFS(AND($A67&gt;$DA$6,$B67&gt;$DB$6),0,AND($W$2=$DA$2,$A67&gt;$DA$4),IF($Y66=0,0,(W66-((W66/$Y66)*$BY66))*(1+$DH$2)),AND($W$2=$DB$2,$B67&gt;$DB$4),IF($Y66=0,0,(W66-((W66/$Y66)*$BY66))*(1+$DH$2)),AND($W$2=$DA$2,OR($A67&gt;$DA$3,$A67&gt;$DA$6)),(W66*(1+$DH$1)),AND($W$2=$DB$2,OR($B67&gt;$DB$3,$B67&gt;$DB$6)),(W66*(1+$DH$1)),AND($W$2=$DA$2,$A67&lt;=$DA$3,$A67&lt;=$DA$4,$A67&lt;=$DA$5),(W66*(1+$DH$1))+(W$4),AND($W$2=$DB$2,$B67&lt;=$DB$3,$B67&lt;=$DB$4,$B67&lt;=$DB$5),(W66*(1+$DH$1))+(W$4))</f>
        <v>0</v>
      </c>
      <c r="Y67" s="1">
        <f t="shared" si="47"/>
        <v>0</v>
      </c>
      <c r="Z67" s="2">
        <f t="shared" si="37"/>
        <v>0</v>
      </c>
      <c r="AA67" s="375"/>
      <c r="AC67" s="326" cm="1">
        <f t="array" ref="AC67">_xlfn.IFS(AND(A67&gt;DA$6,B67&gt;DB$6),0,AND(A67&gt;DA$4,B67&gt;DB$4),IF(AG66=0,0,(AC66-((AC66/AG66)*CA66))*(1+DH$2)),OR(A67&gt;DA$3,A67&gt;DA$6),AC66*(1+DH$1),A67&gt;DA$4,(AC66-CA66)*(1+DH$2),AND(A67&lt;=DA$3,A67&lt;=DA$4,A67&lt;=DA$6),(AC66*(1+DH$1))+(AC$4))</f>
        <v>0</v>
      </c>
      <c r="AD67" s="375"/>
      <c r="AE67" s="326" cm="1">
        <f t="array" ref="AE67">_xlfn.IFS(AND(A67&gt;DA$6,B67&gt;DB$6),0,AND(A67&gt;DA$4,B67&gt;DB$4),IF(AG66=0,0,(AE66-((AE66/AG66)*CA66))*(1+DH$2)),OR(B67&gt;DB$3,B67&gt;DB$6),AE66*(1+DH$1),B67&gt;DB$4,(AE66-CA66)*(1+DH$2),AND(B67&lt;=DB$3,B67&lt;=DB$4,B67&lt;=DB$6),(AE66*(1+DH$1))+(AE$4))</f>
        <v>0</v>
      </c>
      <c r="AF67" s="375"/>
      <c r="AG67" s="1">
        <f t="shared" si="61"/>
        <v>0</v>
      </c>
      <c r="AH67" s="2">
        <f t="shared" si="48"/>
        <v>0</v>
      </c>
      <c r="AI67" s="14">
        <f t="shared" si="38"/>
        <v>0</v>
      </c>
      <c r="AK67" s="1">
        <f t="shared" si="49"/>
        <v>0</v>
      </c>
      <c r="AL67" s="14">
        <f t="shared" si="39"/>
        <v>0</v>
      </c>
      <c r="AM67" s="14" t="str">
        <f t="shared" si="23"/>
        <v/>
      </c>
      <c r="AO67" s="15">
        <f t="shared" si="40"/>
        <v>0</v>
      </c>
      <c r="AP67" s="1">
        <f>IF(AND(B67&gt;=$DB$6,A67&gt;=$DA$6),0,AP66*(1+Lookups!C$12))</f>
        <v>0</v>
      </c>
      <c r="AQ67" s="1">
        <f>IF(AND(B67&gt;=$DB$6,A67&gt;=$DA$6),0,AQ66*(1+Lookups!C$12))</f>
        <v>0</v>
      </c>
      <c r="AS67" s="1" cm="1">
        <f t="array" ref="AS67">_xlfn.IFS(OR(AS$6="",AND(A67&gt;=DA$6,B67&gt;=DB$6),AND(A67&lt;DA$4,B67&lt;DB$4)),0,AND(A67=DA$4,DA$4&lt;=DB$4),AS$6,AND(B67=DB$4,DA$4&gt;=DB$4),AS$6,OR(A67&gt;DA$4,B67&gt;DB$4),AS66*(1+Setup!C$103))</f>
        <v>0</v>
      </c>
      <c r="AT67" s="1" cm="1">
        <f t="array" ref="AT67">_xlfn.IFS(OR(AT$6="",AND(A67&gt;=DA$6,B67&gt;=DB$6),AND(A67&lt;DA$4,B67&lt;DB$4)),0,AND(A67=DA$4,DA$4&lt;=DB$4),AT$6,AND(B67=DB$4,DA$4&gt;=DB$4),AT$6,OR(A67&gt;DA$4,B67&gt;DB$4),AT66*(1+Setup!C$103))</f>
        <v>0</v>
      </c>
      <c r="AU67" s="1" cm="1">
        <f t="array" ref="AU67">_xlfn.IFS(OR(AU$6="",AND(A67&gt;=DA$6,B67&gt;=DB$6),AND(A67&lt;DA$4,B67&lt;DB$4)),0,AND(A67=DA$4,DA$4&lt;=DB$4),AU$6,AND(B67=DB$4,DA$4&gt;=DB$4),AU$6,OR(A67&gt;DA$4,B67&gt;DB$4),AU66*(1+Setup!C$103))</f>
        <v>0</v>
      </c>
      <c r="AV67" s="1" cm="1">
        <f t="array" ref="AV67">_xlfn.IFS(OR(AV$6="",AND(A67&gt;=DA$6,B67&gt;=DB$6),AND(A67&lt;DA$4,B67&lt;DB$4)),0,AND(A67=DA$4,DA$4&lt;=DB$4),AV$6,AND(B67=DB$4,DA$4&gt;=DB$4),AV$6,OR(A67&gt;DA$4,B67&gt;DB$4),AV66*(1+Setup!C$103))</f>
        <v>0</v>
      </c>
      <c r="AW67" s="1">
        <f t="shared" si="41"/>
        <v>0</v>
      </c>
      <c r="AY67" s="1" cm="1">
        <f t="array" ref="AY67">_xlfn.IFS(OR(AND(A67&gt;=DA$6,B67&gt;=DB$6),A67&lt;DA$5),0,AND(A67=DA$5,YEAR(C67)&gt;=Lookups!D$89),VLOOKUP(A67,Lookups!B$94:F$102,3),AND(A67=DA$5,YEAR(C67)&lt;Lookups!D$89),VLOOKUP(A67,Lookups!B$94:F$102,2),AND(A67&gt;DA$5,YEAR(C67)=Lookups!D$89),(AY66*Lookups!D$90)*(1+Lookups!C$20),AND(A67&gt;DA$5,YEAR(C67)&lt;&gt;Lookups!D$89),AY66*(1+Lookups!C$20))</f>
        <v>0</v>
      </c>
      <c r="AZ67" s="1" cm="1">
        <f t="array" ref="AZ67">_xlfn.IFS(OR(ISBLANK(Setup!K$91),Setup!K$91=0,AND(A67&gt;=DA$6,B67&gt;=DB$6),B67&lt;DB$5),0,AND(B67=DB$5,YEAR(C67)&gt;=Lookups!D$89),VLOOKUP(B67,Lookups!B$94:F$102,5),AND(B67=DB$5,YEAR(C67)&lt;Lookups!D$89),VLOOKUP(B67,Lookups!B$94:F$102,4),AND(B67&gt;DB$5,YEAR(C67)=Lookups!D$89),(AZ66*Lookups!D$90)*(1+Lookups!C$20),AND(B67&gt;DB$5,YEAR(C67)&lt;&gt;Lookups!D$89),AZ66*(1+Lookups!C$20))</f>
        <v>0</v>
      </c>
      <c r="BA67" s="65">
        <f>IF(OR(AY67&gt;0,AZ67&gt;0),(AY67+AZ67)*Lookups!D$120,0)</f>
        <v>0</v>
      </c>
      <c r="BB67" s="1" cm="1">
        <f t="array" ref="BB67">_xlfn.IFS(AND(A67&lt;DA$4,B67&lt;DB$4),0,OR(_xlfn.XOR(A67&gt;DA$6,B67&gt;DB$6),_xlfn.XOR(A67&gt;=DA$4,B67&gt;=DB$4)),IF(AP67-SUM(AW67,AY67:AZ67)&gt;0,AP67-SUM(AW67,AY67:AZ67),0),AQ67-SUM(AW67,AY67:AZ67)&gt;0, AQ67-SUM(AW67,AY67:AZ67),AQ67-SUM(AW67,AY67:AZ67)&lt;=0,0)</f>
        <v>0</v>
      </c>
      <c r="BD67" s="1" cm="1">
        <f t="array" ref="BD67">_xlfn.IFS(AND(A67&gt;=DA$6,B67&gt;=DB$6),0,AND(A67&gt;=DA$6,B67&gt;=Lookups!C$35),D67/VLOOKUP(B67,Lookups!C$37:D$67,2),A67&lt;Lookups!$C$35,0,A67&gt;=Lookups!C$35,D67/VLOOKUP(A67,Lookups!C$37:D$67,2))</f>
        <v>0</v>
      </c>
      <c r="BE67" s="1" cm="1">
        <f t="array" ref="BE67">_xlfn.IFS(AND(A67&gt;=DA$6,B67&gt;=DB$6),0,AND(B67&gt;=DB$6,A67&gt;=Lookups!C$35),F67/VLOOKUP(A67,Lookups!C$37:D$67,2),B67&lt;Lookups!$C$35,0,B67&gt;=Lookups!C$35,F67/VLOOKUP(B67,Lookups!C$37:D$67,2))</f>
        <v>0</v>
      </c>
      <c r="BF67" s="1" cm="1">
        <f t="array" ref="BF67">_xlfn.IFS($BB67&lt;=0,0,AND(A67&gt;=DA$4,B67&gt;=DB$4,$BB67*I67&lt;(BD67+BE67)),0,AND(A67&gt;=DA$4,B67&gt;=DB$4,H67&gt;=(BB67*I67)-BD67-BE67),(BB67*I67)-BD67-BE67,AND(A67&gt;=DA$4,B67&gt;=DB$4,H67&lt;(BB67*I67)-BD67-BE67),H67,AND(A67&gt;=DA$4,$BB67*I67&lt;(BD67)),0,AND(A67&gt;=DA$4,H67&gt;=(BB67*I67)-BD67),(BB67*I67)-BD67,AND(A67&gt;=DA$4,H67&lt;(BB67*I67)-BD67),H67,AND(B67&gt;=DB$4,$BB67*I67&lt;(BE67)),0,AND(B67&gt;=DB$4,H67&gt;=(BB67*I67)-BE67),(BB67*I67)-BE67,AND(B67&gt;=DB$4,H67&lt;(BB67*I67)-BE67),H67)</f>
        <v>0</v>
      </c>
      <c r="BG67" s="1">
        <f t="shared" si="66"/>
        <v>0</v>
      </c>
      <c r="BH67" s="1" cm="1">
        <f t="array" ref="BH67">_xlfn.IFS(OR(D67=0,A67&lt;DA$4),0,AND(A67&gt;=DA$4,B67&gt;=DB$4,D67&lt;BD67+($BF67*(D67/$H67))+(-$BP67*(D67/$H67))),D67,AND(A67&gt;=DA$4,B67&gt;=DB$4,$BB67&gt;$BG67),BD67+($BF67*(D67/$H67))+(-$BP67*(D67/$H67)),AND(A67&gt;=DA$4,B67&gt;=DB$4,OR(A67&gt;DA$6, B67&gt;DB$6),$AP67-SUM($AW67,$AY67:$AZ67)&lt;0),BD67+($BF67*(D67/$H67))+(-$BP67*(D67/$H67))+(BP67*(D67/$H67)),AND(A67&gt;=DA$4,B67&gt;=DB$4,$AQ67-SUM($AW67,$AY67:$AZ67)&lt;0),BD67+($BF67*(D67/$H67))+(-$BP67*(D67/$H67))+(BP67*(D67/$H67)),AND(A67&gt;=DA$4,D67&lt;BD67+$BF67-$BP67),D67,AND(A67&gt;=DA$4,$AP67-SUM($AW67,$AY67:$AZ67)&lt;0),BD67+($BF67*(D67/$H67))+(-$BP67*(D67/$H67))+(BP67*(D67/$H67)),A67&gt;=DA$4,BD67+$BF67-$BP67)</f>
        <v>0</v>
      </c>
      <c r="BI67" s="1" cm="1">
        <f t="array" ref="BI67">_xlfn.IFS(OR(F67=0,B67&lt;DB$4),0,AND(A67&gt;=DA$4,B67&gt;=DB$4,F67&lt;BE67+($BF67*(F67/$H67))+(-$BP67*(F67/$H67))),F67,AND(A67&gt;=DA$4,B67&gt;=DB$4,$BB67&gt;$BG67),BE67+($BF67*(F67/$H67))+(-$BP67*(F67/$H67)),AND(A67&gt;=DA$4,B67&gt;=DB$4,OR(A67&gt;DA$6, B67&gt;DB$6),$AP67-SUM($AW67,$AY67:$AZ67)&lt;0),BE67+($BF67*(F67/$H67))+(-$BP67*(F67/$H67))+(BP67*(F67/$H67)),AND(A67&gt;=DA$4,B67&gt;=DB$4,$AQ67-SUM($AW67,$AY67:$AZ67)&lt;0),BE67+($BF67*(F67/$H67))+(-$BP67*(F67/$H67))+(BP67*(F67/$H67)),AND(B67&gt;=DB$4,F67&lt;BE67+$BF67-$BP67),F67,AND(B67&gt;=DB$4,$AP67-SUM($AW67,$AY67:$AZ67)&lt;0),BE67+($BF67*(F67/$H67))+(-$BP67*(F67/$H67))+(BP67*(F67/$H67)),B67&gt;=DB$4,BE67+$BF67-$BP67)</f>
        <v>0</v>
      </c>
      <c r="BJ67" s="64" cm="1">
        <f t="array" ref="BJ67">IF(AW67+BA67+BG67&gt;0, AW67+BA67+BG67-_xlfn.IFS(AND(A67&gt;=65,B67&gt;=65),VLOOKUP(Setup!I$4,Lookups!C$133:F$136,4),OR(A67&gt;=65,B67&gt;=65),VLOOKUP(Setup!I$4,Lookups!C$133:E$136,3),AND(A67&lt;65,B67&lt;65),VLOOKUP(Setup!I$4,Lookups!C$133:D$136,2)),0)</f>
        <v>0</v>
      </c>
      <c r="BK67" s="1" cm="1">
        <f t="array" ref="BK67">IF(BJ67&gt;0,_xlfn.IFS(Setup!I$4=Lookups!D$109,-_xlfn.IFS($BJ67&gt;=Lookups!D$157, Lookups!F$157+($BJ67-Lookups!D$157)*Lookups!G$157,$BJ67&gt;=Lookups!D$156, Lookups!F$156+($BJ67-Lookups!D$156)*Lookups!G$156,$BJ67&gt;=Lookups!D$155, Lookups!F$155+($BJ67-Lookups!D$155)*Lookups!G$155,$BJ67&gt;=Lookups!D$154, Lookups!F$154+($BJ67-Lookups!D$154)*Lookups!G$154,$BJ67&gt;=Lookups!D$153, Lookups!F$153+($BJ67-Lookups!D$153)*Lookups!G$153,$BJ67&gt;=Lookups!D$152, Lookups!F$152+($BJ67-Lookups!D$152)*Lookups!G$152,$BJ67&lt;Lookups!D$152,$BJ67*Lookups!G$151),Setup!I$4=Lookups!D$110,-_xlfn.IFS($BJ67&gt;=Lookups!D$167, Lookups!F$167+($BJ67-Lookups!D$167)*Lookups!G$167,$BJ67&gt;=Lookups!D$166, Lookups!F$166+($BJ67-Lookups!D$166)*Lookups!G$166,$BJ67&gt;=Lookups!D$165, Lookups!F$165+($BJ67-Lookups!D$165)*Lookups!G$165,$BJ67&gt;=Lookups!D$164, Lookups!F$164+($BJ67-Lookups!D$164)*Lookups!G$164,$BJ67&gt;=Lookups!D$163, Lookups!F$163+($BJ67-Lookups!D$163)*Lookups!G$163,$BJ67&gt;=Lookups!D$162, Lookups!F$162+($BJ67-Lookups!D$162)*Lookups!G$162,$BJ67&lt;Lookups!D$162,$BJ67*Lookups!G$161),Setup!I$4=Lookups!D$111,-_xlfn.IFS($BJ67&gt;=Lookups!D$177, Lookups!F$177+($BJ67-Lookups!D$177)*Lookups!G$177,$BJ67&gt;=Lookups!D$176, Lookups!F$176+($BJ67-Lookups!D$176)*Lookups!G$176,$BJ67&gt;=Lookups!D$175, Lookups!F$175+($BJ67-Lookups!D$175)*Lookups!G$175,$BJ67&gt;=Lookups!D$174, Lookups!F$174+($BJ67-Lookups!D$174)*Lookups!G$174,$BJ67&gt;=Lookups!D$173, Lookups!F$173+($BJ67-Lookups!D$173)*Lookups!G$173,$BJ67&gt;=Lookups!D$172, Lookups!F$172+($BJ67-Lookups!D$172)*Lookups!G$172,$BJ67&lt;Lookups!D$172,$BJ67*Lookups!G$171), Setup!I$4=Lookups!D$112,-_xlfn.IFS($BJ67&gt;=Lookups!D$187, Lookups!F$187+($BJ67-Lookups!D$187)*Lookups!G$187,$BJ67&gt;=Lookups!D$186, Lookups!F$186+($BJ67-Lookups!D$186)*Lookups!G$186,$BJ67&gt;=Lookups!D$185, Lookups!F$185+($BJ67-Lookups!D$185)*Lookups!G$185,$BJ67&gt;=Lookups!D$184, Lookups!F$184+($BJ67-Lookups!D$184)*Lookups!G$184,$BJ67&gt;=Lookups!D$183, Lookups!F$183+($BJ67-Lookups!D$183)*Lookups!G$183,$BJ67&gt;=Lookups!D$182, Lookups!F$182+($BJ67-Lookups!D$182)*Lookups!G$182,$BJ67&lt;Lookups!D$182,$BJ67*Lookups!G$181)),0)</f>
        <v>0</v>
      </c>
      <c r="BL67" s="18">
        <f t="shared" si="42"/>
        <v>0</v>
      </c>
      <c r="BM67" s="134">
        <f t="shared" si="67"/>
        <v>0</v>
      </c>
      <c r="BN67" s="134" cm="1">
        <f t="array" aca="1" ref="BN67" ca="1">INDIRECT(Setup!I$6&amp;"!"&amp;"A"&amp;ROW())</f>
        <v>0</v>
      </c>
      <c r="BO67" s="134">
        <f t="shared" si="25"/>
        <v>0</v>
      </c>
      <c r="BP67" s="1">
        <f t="shared" si="43"/>
        <v>0</v>
      </c>
      <c r="BQ67" s="1">
        <f t="shared" si="26"/>
        <v>0</v>
      </c>
      <c r="BS67" s="1">
        <f t="shared" si="50"/>
        <v>0</v>
      </c>
      <c r="BT67" s="1" cm="1">
        <f t="array" ref="BT67">-IF(BS67&gt;0,_xlfn.IFS((AW67+BA67+BG67+BS67)&gt;=VLOOKUP(Setup!I$4,Lookups!C$210:E$213,3),BS67*Lookups!D$203,(AW67+BA67+BG67+BS67)&gt;=VLOOKUP(Setup!I$4,Lookups!C$210:E$213,2),BS67*Lookups!D$197,(AW67+BA67+BG67+BS67)&lt;VLOOKUP(Setup!I$4,Lookups!C$210:E$213,2),0),0)</f>
        <v>0</v>
      </c>
      <c r="BU67" s="18">
        <f t="shared" si="51"/>
        <v>0</v>
      </c>
      <c r="BV67" s="1">
        <f t="shared" si="52"/>
        <v>0</v>
      </c>
      <c r="BW67" s="1" cm="1">
        <f t="array" aca="1" ref="BW67" ca="1">INDIRECT(Setup!I$6&amp;"!"&amp;"A"&amp;ROW()+100)</f>
        <v>0</v>
      </c>
      <c r="BX67" s="1">
        <f t="shared" ca="1" si="44"/>
        <v>0</v>
      </c>
      <c r="BY67" s="1">
        <f t="shared" ca="1" si="45"/>
        <v>0</v>
      </c>
      <c r="CA67" s="1">
        <f t="shared" si="59"/>
        <v>0</v>
      </c>
      <c r="CC67" s="1" cm="1">
        <f t="array" ref="CC67">_xlfn.IFS(AND(A67&lt;$DA$4,B67&lt;$DB$4),0,AND(AND(A67&gt;=$DA$4,B67&gt;=$DB$4),AND(A67&lt;=$DA$6,B67&lt;=$DB$6),AND(BH67=0,BI67=0)),SUM(AW67,AY67:AZ67,BD67:BF67,BP67,BS67,CA67)-AQ67,AND(AND(A67&gt;=$DA$4,B67&gt;=$DB$4),AND(A67&lt;=$DA$6,B67&lt;=$DB$6)),SUM(AW67,AY67:AZ67,BD67:BF67,BS67,CA67)-AQ67,AND(OR(A67&gt;=$DA$4,B67&gt;=$DB$4),AND(BH67=0,BI67=0)),SUM(AW67,AY67:AZ67,BD67:BF67,BP67,BS67,CA67)-AP67,OR(A67&gt;=$DA$4,B67&gt;=$DB$4),SUM(AW67,AY67:AZ67,BD67:BF67,BS67,CA67)-AP67)</f>
        <v>0</v>
      </c>
      <c r="CD67" s="142" t="str">
        <f t="shared" si="30"/>
        <v/>
      </c>
    </row>
    <row r="68" spans="1:82" x14ac:dyDescent="0.3">
      <c r="A68" s="354">
        <f t="shared" ref="A68:A92" si="68">A67+1</f>
        <v>61</v>
      </c>
      <c r="B68" s="354">
        <f t="shared" ref="B68:B92" si="69">B67+1</f>
        <v>61</v>
      </c>
      <c r="C68" s="359">
        <f t="shared" si="33"/>
        <v>22282</v>
      </c>
      <c r="D68" s="326" cm="1">
        <f t="array" ref="D68">_xlfn.IFS(AND(A68&gt;DA$6,B68&gt;DB$6),0,AND(A68&gt;DA$3,A68&lt;=DA$4),D67*(1+DH$1),OR(A68&gt;DA$6,A68&gt;DA$4),(D67-BH67)*(1+DH$2),A68&lt;=DA$4,(D67*(1+DH$1))+(D$4))</f>
        <v>0</v>
      </c>
      <c r="E68" s="375"/>
      <c r="F68" s="326" cm="1">
        <f t="array" ref="F68">_xlfn.IFS(AND(A68&gt;DA$6,B68&gt;DB$6),0,AND(B68&gt;DB$3,B68&lt;=DB$4),F67*(1+DH$1),OR(B68&gt;DB$6,B68&gt;DB$4),(F67-BI67)*(1+DH$2),B68&lt;=DB$4,(F67*(1+DH$1))+(F$4))</f>
        <v>0</v>
      </c>
      <c r="G68" s="375"/>
      <c r="H68" s="1">
        <f>SUM(D68,F68)</f>
        <v>0</v>
      </c>
      <c r="I68" s="2">
        <f t="shared" si="36"/>
        <v>0</v>
      </c>
      <c r="J68" s="14">
        <f t="shared" si="64"/>
        <v>0</v>
      </c>
      <c r="L68" s="402" cm="1">
        <f t="array" ref="L68">_xlfn.IFS(AND(A68&gt;DA$6,B68&gt;DB$6),0,A68&lt;DA$6,0,A68=DA$6,L$4,AND(A68&gt;DA$6,B68&lt;=DB$4),L67*(1+DH$1),AND(A68&gt;DA$6,B68&gt;DB$4),IF(Y67=0,0,(L67-((L67/Y67)*BY67))*(1+DH$2)))</f>
        <v>0</v>
      </c>
      <c r="M68" s="402" cm="1">
        <f t="array" ref="M68">_xlfn.IFS(AND(A68&gt;DA$6,B68&gt;DB$6),0,B68&lt;DB$6,0,B68=DB$6,M$4,AND(B68&gt;DB$6,A68&lt;=DA$4),M67*(1+DH$1),AND(A68&gt;DA$4,B68&gt;DB$6),IF(Y67=0,0,(M67-((M67/Y67)*BY67))*(1+DH$2)))</f>
        <v>0</v>
      </c>
      <c r="N68" s="327"/>
      <c r="O68" s="327" cm="1">
        <f t="array" ref="O68">_xlfn.IFS(OR(ISBLANK(Setup!C$63),Setup!C$63&gt;YEAR(C68),AND(A68&gt;DA$6,B68&gt;DB$6),ISBLANK(Y67)),0,Setup!C$63=YEAR(C68),Setup!C$62,AND(OR(A68&lt;=DA$4,B68&lt;=DB$4),Setup!C$63&lt;YEAR(C68)),O67*(1+DH$1),AND(A68&gt;DA$4,B68&gt;DB$4,Setup!C$63&lt;YEAR(C68)),IF(Y67=0,0,(O67-((O67/Y67)*BY67))*(1+DH$2)))</f>
        <v>0</v>
      </c>
      <c r="P68" s="327" cm="1">
        <f t="array" ref="P68">_xlfn.IFS(OR(ISBLANK(Setup!C$67),Setup!C$67&gt;YEAR(C68),AND(A68&gt;DA$6,B68&gt;DB$6)),0,Setup!C$67=YEAR(C68),Setup!C$66,AND(OR(A68&lt;=DA$4,B68&lt;=DB$4),Setup!C$67&lt;YEAR(C68)),P67*(1+DH$1),AND(A68&gt;DA$4,B68&gt;DB$4,Setup!C$67&lt;YEAR(C68)),IF(Y67=0,0,(P67-((P67/Y67)*BY67))*(1+DH$2)))</f>
        <v>0</v>
      </c>
      <c r="Q68" s="327" cm="1">
        <f t="array" ref="Q68">_xlfn.IFS(OR(ISBLANK(Setup!C$71),Setup!C$71&gt;YEAR(C68),AND(A68&gt;DA$6,B68&gt;DB$6)),0,Setup!C$71=YEAR(C68),Setup!C$70,AND(OR(A68&lt;=DA$4,B68&lt;=DB$4),Setup!C$71&lt;YEAR(C68)),Q67*(1+DH$1),AND(A68&gt;DA$4,B68&gt;DB$4,Setup!C$71&lt;YEAR(C68)),IF(Y67=0,0,(Q67-((Q67/Y67)*BY67))*(1+DH$2)))</f>
        <v>0</v>
      </c>
      <c r="R68" s="327" cm="1">
        <f t="array" ref="R68">_xlfn.IFS(OR(ISBLANK(Setup!C$75),Setup!C$75&gt;YEAR(C68),AND(A68&gt;DA$6,B68&gt;DB$6)),0,Setup!C$75=YEAR(C68),Setup!C$74,AND(OR(A68&lt;=DA$4,B68&lt;=DB$4),Setup!C$75&lt;YEAR(C68)),R67*(1+DH$1),AND(A68&gt;DA$4,B68&gt;DB$4,Setup!C$75&lt;YEAR(C68)),IF(Y67=0,0,(R67-((R67/Y67)*BY67))*(1+DH$2)))</f>
        <v>0</v>
      </c>
      <c r="S68" s="327"/>
      <c r="T68" s="326" cm="1">
        <f t="array" ref="T68">_xlfn.IFS(AND($A68&gt;$DA$6,$B68&gt;$DB$6),0,AND($W$2=$DA$2,$A68&gt;$DA$4),IF($Y67=0,0,(T67-((T67/$Y67)*$BY67))*(1+$DH$2)),AND($W$2=$DB$2,$B68&gt;$DB$4),IF($Y67=0,0,(T67-((T67/$Y67)*$BY67))*(1+$DH$2)),AND($W$2=$DA$2,OR($A68&gt;$DA$3,$A68&gt;$DA$6)),(T67*(1+$DH$1)),AND($W$2=$DB$2,OR($B68&gt;$DB$3,$B68&gt;$DB$6)),(T67*(1+$DH$1)),AND($W$2=$DA$2,$A68&lt;=$DA$3,$A68&lt;=$DA$4,$A68&lt;=$DA$5),(T67*(1+$DH$1))+(T$4),AND($W$2=$DB$2,$B68&lt;=$DB$3,$B68&lt;=$DB$4,$B68&lt;=$DB$5),(T67*(1+$DH$1))+(T$4))</f>
        <v>0</v>
      </c>
      <c r="U68" s="326" cm="1">
        <f t="array" ref="U68">_xlfn.IFS(AND($A68&gt;$DA$6,$B68&gt;$DB$6),0,AND($W$2=$DA$2,$A68&gt;$DA$4),IF($Y67=0,0,(U67-((U67/$Y67)*$BY67))*(1+$DH$2)),AND($W$2=$DB$2,$B68&gt;$DB$4),IF($Y67=0,0,(U67-((U67/$Y67)*$BY67))*(1+$DH$2)),AND($W$2=$DA$2,OR($A68&gt;$DA$3,$A68&gt;$DA$6)),(U67*(1+$DH$1)),AND($W$2=$DB$2,OR($B68&gt;$DB$3,$B68&gt;$DB$6)),(U67*(1+$DH$1)),AND($W$2=$DA$2,$A68&lt;=$DA$3,$A68&lt;=$DA$4,$A68&lt;=$DA$5),(U67*(1+$DH$1))+(U$4),AND($W$2=$DB$2,$B68&lt;=$DB$3,$B68&lt;=$DB$4,$B68&lt;=$DB$5),(U67*(1+$DH$1))+(U$4))</f>
        <v>0</v>
      </c>
      <c r="V68" s="326" cm="1">
        <f t="array" ref="V68">_xlfn.IFS(AND($A68&gt;$DA$6,$B68&gt;$DB$6),0,AND($W$2=$DA$2,$A68&gt;$DA$4),IF($Y67=0,0,(V67-((V67/$Y67)*$BY67))*(1+$DH$2)),AND($W$2=$DB$2,$B68&gt;$DB$4),IF($Y67=0,0,(V67-((V67/$Y67)*$BY67))*(1+$DH$2)),AND($W$2=$DA$2,OR($A68&gt;$DA$3,$A68&gt;$DA$6)),(V67*(1+$DH$1)),AND($W$2=$DB$2,OR($B68&gt;$DB$3,$B68&gt;$DB$6)),(V67*(1+$DH$1)),AND($W$2=$DA$2,$A68&lt;=$DA$3,$A68&lt;=$DA$4,$A68&lt;=$DA$5),(V67*(1+$DH$1))+(V$4),AND($W$2=$DB$2,$B68&lt;=$DB$3,$B68&lt;=$DB$4,$B68&lt;=$DB$5),(V67*(1+$DH$1))+(V$4))</f>
        <v>0</v>
      </c>
      <c r="W68" s="326" cm="1">
        <f t="array" ref="W68">_xlfn.IFS(AND($A68&gt;$DA$6,$B68&gt;$DB$6),0,AND($W$2=$DA$2,$A68&gt;$DA$4),IF($Y67=0,0,(W67-((W67/$Y67)*$BY67))*(1+$DH$2)),AND($W$2=$DB$2,$B68&gt;$DB$4),IF($Y67=0,0,(W67-((W67/$Y67)*$BY67))*(1+$DH$2)),AND($W$2=$DA$2,OR($A68&gt;$DA$3,$A68&gt;$DA$6)),(W67*(1+$DH$1)),AND($W$2=$DB$2,OR($B68&gt;$DB$3,$B68&gt;$DB$6)),(W67*(1+$DH$1)),AND($W$2=$DA$2,$A68&lt;=$DA$3,$A68&lt;=$DA$4,$A68&lt;=$DA$5),(W67*(1+$DH$1))+(W$4),AND($W$2=$DB$2,$B68&lt;=$DB$3,$B68&lt;=$DB$4,$B68&lt;=$DB$5),(W67*(1+$DH$1))+(W$4))</f>
        <v>0</v>
      </c>
      <c r="Y68" s="1">
        <f t="shared" si="47"/>
        <v>0</v>
      </c>
      <c r="Z68" s="2">
        <f t="shared" si="37"/>
        <v>0</v>
      </c>
      <c r="AA68" s="375"/>
      <c r="AC68" s="326" cm="1">
        <f t="array" ref="AC68">_xlfn.IFS(AND(A68&gt;DA$6,B68&gt;DB$6),0,AND(A68&gt;DA$4,B68&gt;DB$4),IF(AG67=0,0,(AC67-((AC67/AG67)*CA67))*(1+DH$2)),OR(A68&gt;DA$3,A68&gt;DA$6),AC67*(1+DH$1),A68&gt;DA$4,(AC67-CA67)*(1+DH$2),AND(A68&lt;=DA$3,A68&lt;=DA$4,A68&lt;=DA$6),(AC67*(1+DH$1))+(AC$4))</f>
        <v>0</v>
      </c>
      <c r="AD68" s="375"/>
      <c r="AE68" s="326" cm="1">
        <f t="array" ref="AE68">_xlfn.IFS(AND(A68&gt;DA$6,B68&gt;DB$6),0,AND(A68&gt;DA$4,B68&gt;DB$4),IF(AG67=0,0,(AE67-((AE67/AG67)*CA67))*(1+DH$2)),OR(B68&gt;DB$3,B68&gt;DB$6),AE67*(1+DH$1),B68&gt;DB$4,(AE67-CA67)*(1+DH$2),AND(B68&lt;=DB$3,B68&lt;=DB$4,B68&lt;=DB$6),(AE67*(1+DH$1))+(AE$4))</f>
        <v>0</v>
      </c>
      <c r="AF68" s="375"/>
      <c r="AG68" s="1">
        <f t="shared" si="61"/>
        <v>0</v>
      </c>
      <c r="AH68" s="2">
        <f t="shared" si="48"/>
        <v>0</v>
      </c>
      <c r="AI68" s="14">
        <f t="shared" si="38"/>
        <v>0</v>
      </c>
      <c r="AK68" s="1">
        <f t="shared" si="49"/>
        <v>0</v>
      </c>
      <c r="AL68" s="14">
        <f t="shared" si="39"/>
        <v>0</v>
      </c>
      <c r="AM68" s="14" t="str">
        <f t="shared" si="23"/>
        <v/>
      </c>
      <c r="AO68" s="15">
        <f t="shared" si="40"/>
        <v>0</v>
      </c>
      <c r="AP68" s="1">
        <f>IF(AND(B68&gt;=$DB$6,A68&gt;=$DA$6),0,AP67*(1+Lookups!C$12))</f>
        <v>0</v>
      </c>
      <c r="AQ68" s="1">
        <f>IF(AND(B68&gt;=$DB$6,A68&gt;=$DA$6),0,AQ67*(1+Lookups!C$12))</f>
        <v>0</v>
      </c>
      <c r="AS68" s="1" cm="1">
        <f t="array" ref="AS68">_xlfn.IFS(OR(AS$6="",AND(A68&gt;=DA$6,B68&gt;=DB$6),AND(A68&lt;DA$4,B68&lt;DB$4)),0,AND(A68=DA$4,DA$4&lt;=DB$4),AS$6,AND(B68=DB$4,DA$4&gt;=DB$4),AS$6,OR(A68&gt;DA$4,B68&gt;DB$4),AS67*(1+Setup!C$103))</f>
        <v>0</v>
      </c>
      <c r="AT68" s="1" cm="1">
        <f t="array" ref="AT68">_xlfn.IFS(OR(AT$6="",AND(A68&gt;=DA$6,B68&gt;=DB$6),AND(A68&lt;DA$4,B68&lt;DB$4)),0,AND(A68=DA$4,DA$4&lt;=DB$4),AT$6,AND(B68=DB$4,DA$4&gt;=DB$4),AT$6,OR(A68&gt;DA$4,B68&gt;DB$4),AT67*(1+Setup!C$103))</f>
        <v>0</v>
      </c>
      <c r="AU68" s="1" cm="1">
        <f t="array" ref="AU68">_xlfn.IFS(OR(AU$6="",AND(A68&gt;=DA$6,B68&gt;=DB$6),AND(A68&lt;DA$4,B68&lt;DB$4)),0,AND(A68=DA$4,DA$4&lt;=DB$4),AU$6,AND(B68=DB$4,DA$4&gt;=DB$4),AU$6,OR(A68&gt;DA$4,B68&gt;DB$4),AU67*(1+Setup!C$103))</f>
        <v>0</v>
      </c>
      <c r="AV68" s="1" cm="1">
        <f t="array" ref="AV68">_xlfn.IFS(OR(AV$6="",AND(A68&gt;=DA$6,B68&gt;=DB$6),AND(A68&lt;DA$4,B68&lt;DB$4)),0,AND(A68=DA$4,DA$4&lt;=DB$4),AV$6,AND(B68=DB$4,DA$4&gt;=DB$4),AV$6,OR(A68&gt;DA$4,B68&gt;DB$4),AV67*(1+Setup!C$103))</f>
        <v>0</v>
      </c>
      <c r="AW68" s="1">
        <f t="shared" si="41"/>
        <v>0</v>
      </c>
      <c r="AY68" s="1" cm="1">
        <f t="array" ref="AY68">_xlfn.IFS(OR(AND(A68&gt;=DA$6,B68&gt;=DB$6),A68&lt;DA$5),0,AND(A68=DA$5,YEAR(C68)&gt;=Lookups!D$89),VLOOKUP(A68,Lookups!B$94:F$102,3),AND(A68=DA$5,YEAR(C68)&lt;Lookups!D$89),VLOOKUP(A68,Lookups!B$94:F$102,2),AND(A68&gt;DA$5,YEAR(C68)=Lookups!D$89),(AY67*Lookups!D$90)*(1+Lookups!C$20),AND(A68&gt;DA$5,YEAR(C68)&lt;&gt;Lookups!D$89),AY67*(1+Lookups!C$20))</f>
        <v>0</v>
      </c>
      <c r="AZ68" s="1" cm="1">
        <f t="array" ref="AZ68">_xlfn.IFS(OR(ISBLANK(Setup!K$91),Setup!K$91=0,AND(A68&gt;=DA$6,B68&gt;=DB$6),B68&lt;DB$5),0,AND(B68=DB$5,YEAR(C68)&gt;=Lookups!D$89),VLOOKUP(B68,Lookups!B$94:F$102,5),AND(B68=DB$5,YEAR(C68)&lt;Lookups!D$89),VLOOKUP(B68,Lookups!B$94:F$102,4),AND(B68&gt;DB$5,YEAR(C68)=Lookups!D$89),(AZ67*Lookups!D$90)*(1+Lookups!C$20),AND(B68&gt;DB$5,YEAR(C68)&lt;&gt;Lookups!D$89),AZ67*(1+Lookups!C$20))</f>
        <v>0</v>
      </c>
      <c r="BA68" s="65">
        <f>IF(OR(AY68&gt;0,AZ68&gt;0),(AY68+AZ68)*Lookups!D$120,0)</f>
        <v>0</v>
      </c>
      <c r="BB68" s="1" cm="1">
        <f t="array" ref="BB68">_xlfn.IFS(AND(A68&lt;DA$4,B68&lt;DB$4),0,OR(_xlfn.XOR(A68&gt;DA$6,B68&gt;DB$6),_xlfn.XOR(A68&gt;=DA$4,B68&gt;=DB$4)),IF(AP68-SUM(AW68,AY68:AZ68)&gt;0,AP68-SUM(AW68,AY68:AZ68),0),AQ68-SUM(AW68,AY68:AZ68)&gt;0, AQ68-SUM(AW68,AY68:AZ68),AQ68-SUM(AW68,AY68:AZ68)&lt;=0,0)</f>
        <v>0</v>
      </c>
      <c r="BD68" s="1" cm="1">
        <f t="array" ref="BD68">_xlfn.IFS(AND(A68&gt;=DA$6,B68&gt;=DB$6),0,AND(A68&gt;=DA$6,B68&gt;=Lookups!C$35),D68/VLOOKUP(B68,Lookups!C$37:D$67,2),A68&lt;Lookups!$C$35,0,A68&gt;=Lookups!C$35,D68/VLOOKUP(A68,Lookups!C$37:D$67,2))</f>
        <v>0</v>
      </c>
      <c r="BE68" s="1" cm="1">
        <f t="array" ref="BE68">_xlfn.IFS(AND(A68&gt;=DA$6,B68&gt;=DB$6),0,AND(B68&gt;=DB$6,A68&gt;=Lookups!C$35),F68/VLOOKUP(A68,Lookups!C$37:D$67,2),B68&lt;Lookups!$C$35,0,B68&gt;=Lookups!C$35,F68/VLOOKUP(B68,Lookups!C$37:D$67,2))</f>
        <v>0</v>
      </c>
      <c r="BF68" s="1" cm="1">
        <f t="array" ref="BF68">_xlfn.IFS($BB68&lt;=0,0,AND(A68&gt;=DA$4,B68&gt;=DB$4,$BB68*I68&lt;(BD68+BE68)),0,AND(A68&gt;=DA$4,B68&gt;=DB$4,H68&gt;=(BB68*I68)-BD68-BE68),(BB68*I68)-BD68-BE68,AND(A68&gt;=DA$4,B68&gt;=DB$4,H68&lt;(BB68*I68)-BD68-BE68),H68,AND(A68&gt;=DA$4,$BB68*I68&lt;(BD68)),0,AND(A68&gt;=DA$4,H68&gt;=(BB68*I68)-BD68),(BB68*I68)-BD68,AND(A68&gt;=DA$4,H68&lt;(BB68*I68)-BD68),H68,AND(B68&gt;=DB$4,$BB68*I68&lt;(BE68)),0,AND(B68&gt;=DB$4,H68&gt;=(BB68*I68)-BE68),(BB68*I68)-BE68,AND(B68&gt;=DB$4,H68&lt;(BB68*I68)-BE68),H68)</f>
        <v>0</v>
      </c>
      <c r="BG68" s="1">
        <f t="shared" si="66"/>
        <v>0</v>
      </c>
      <c r="BH68" s="1" cm="1">
        <f t="array" ref="BH68">_xlfn.IFS(OR(D68=0,A68&lt;DA$4),0,AND(A68&gt;=DA$4,B68&gt;=DB$4,D68&lt;BD68+($BF68*(D68/$H68))+(-$BP68*(D68/$H68))),D68,AND(A68&gt;=DA$4,B68&gt;=DB$4,$BB68&gt;$BG68),BD68+($BF68*(D68/$H68))+(-$BP68*(D68/$H68)),AND(A68&gt;=DA$4,B68&gt;=DB$4,OR(A68&gt;DA$6, B68&gt;DB$6),$AP68-SUM($AW68,$AY68:$AZ68)&lt;0),BD68+($BF68*(D68/$H68))+(-$BP68*(D68/$H68))+(BP68*(D68/$H68)),AND(A68&gt;=DA$4,B68&gt;=DB$4,$AQ68-SUM($AW68,$AY68:$AZ68)&lt;0),BD68+($BF68*(D68/$H68))+(-$BP68*(D68/$H68))+(BP68*(D68/$H68)),AND(A68&gt;=DA$4,D68&lt;BD68+$BF68-$BP68),D68,AND(A68&gt;=DA$4,$AP68-SUM($AW68,$AY68:$AZ68)&lt;0),BD68+($BF68*(D68/$H68))+(-$BP68*(D68/$H68))+(BP68*(D68/$H68)),A68&gt;=DA$4,BD68+$BF68-$BP68)</f>
        <v>0</v>
      </c>
      <c r="BI68" s="1" cm="1">
        <f t="array" ref="BI68">_xlfn.IFS(OR(F68=0,B68&lt;DB$4),0,AND(A68&gt;=DA$4,B68&gt;=DB$4,F68&lt;BE68+($BF68*(F68/$H68))+(-$BP68*(F68/$H68))),F68,AND(A68&gt;=DA$4,B68&gt;=DB$4,$BB68&gt;$BG68),BE68+($BF68*(F68/$H68))+(-$BP68*(F68/$H68)),AND(A68&gt;=DA$4,B68&gt;=DB$4,OR(A68&gt;DA$6, B68&gt;DB$6),$AP68-SUM($AW68,$AY68:$AZ68)&lt;0),BE68+($BF68*(F68/$H68))+(-$BP68*(F68/$H68))+(BP68*(F68/$H68)),AND(A68&gt;=DA$4,B68&gt;=DB$4,$AQ68-SUM($AW68,$AY68:$AZ68)&lt;0),BE68+($BF68*(F68/$H68))+(-$BP68*(F68/$H68))+(BP68*(F68/$H68)),AND(B68&gt;=DB$4,F68&lt;BE68+$BF68-$BP68),F68,AND(B68&gt;=DB$4,$AP68-SUM($AW68,$AY68:$AZ68)&lt;0),BE68+($BF68*(F68/$H68))+(-$BP68*(F68/$H68))+(BP68*(F68/$H68)),B68&gt;=DB$4,BE68+$BF68-$BP68)</f>
        <v>0</v>
      </c>
      <c r="BJ68" s="64" cm="1">
        <f t="array" ref="BJ68">IF(AW68+BA68+BG68&gt;0, AW68+BA68+BG68-_xlfn.IFS(AND(A68&gt;=65,B68&gt;=65),VLOOKUP(Setup!I$4,Lookups!C$133:F$136,4),OR(A68&gt;=65,B68&gt;=65),VLOOKUP(Setup!I$4,Lookups!C$133:E$136,3),AND(A68&lt;65,B68&lt;65),VLOOKUP(Setup!I$4,Lookups!C$133:D$136,2)),0)</f>
        <v>0</v>
      </c>
      <c r="BK68" s="1" cm="1">
        <f t="array" ref="BK68">IF(BJ68&gt;0,_xlfn.IFS(Setup!I$4=Lookups!D$109,-_xlfn.IFS($BJ68&gt;=Lookups!D$157, Lookups!F$157+($BJ68-Lookups!D$157)*Lookups!G$157,$BJ68&gt;=Lookups!D$156, Lookups!F$156+($BJ68-Lookups!D$156)*Lookups!G$156,$BJ68&gt;=Lookups!D$155, Lookups!F$155+($BJ68-Lookups!D$155)*Lookups!G$155,$BJ68&gt;=Lookups!D$154, Lookups!F$154+($BJ68-Lookups!D$154)*Lookups!G$154,$BJ68&gt;=Lookups!D$153, Lookups!F$153+($BJ68-Lookups!D$153)*Lookups!G$153,$BJ68&gt;=Lookups!D$152, Lookups!F$152+($BJ68-Lookups!D$152)*Lookups!G$152,$BJ68&lt;Lookups!D$152,$BJ68*Lookups!G$151),Setup!I$4=Lookups!D$110,-_xlfn.IFS($BJ68&gt;=Lookups!D$167, Lookups!F$167+($BJ68-Lookups!D$167)*Lookups!G$167,$BJ68&gt;=Lookups!D$166, Lookups!F$166+($BJ68-Lookups!D$166)*Lookups!G$166,$BJ68&gt;=Lookups!D$165, Lookups!F$165+($BJ68-Lookups!D$165)*Lookups!G$165,$BJ68&gt;=Lookups!D$164, Lookups!F$164+($BJ68-Lookups!D$164)*Lookups!G$164,$BJ68&gt;=Lookups!D$163, Lookups!F$163+($BJ68-Lookups!D$163)*Lookups!G$163,$BJ68&gt;=Lookups!D$162, Lookups!F$162+($BJ68-Lookups!D$162)*Lookups!G$162,$BJ68&lt;Lookups!D$162,$BJ68*Lookups!G$161),Setup!I$4=Lookups!D$111,-_xlfn.IFS($BJ68&gt;=Lookups!D$177, Lookups!F$177+($BJ68-Lookups!D$177)*Lookups!G$177,$BJ68&gt;=Lookups!D$176, Lookups!F$176+($BJ68-Lookups!D$176)*Lookups!G$176,$BJ68&gt;=Lookups!D$175, Lookups!F$175+($BJ68-Lookups!D$175)*Lookups!G$175,$BJ68&gt;=Lookups!D$174, Lookups!F$174+($BJ68-Lookups!D$174)*Lookups!G$174,$BJ68&gt;=Lookups!D$173, Lookups!F$173+($BJ68-Lookups!D$173)*Lookups!G$173,$BJ68&gt;=Lookups!D$172, Lookups!F$172+($BJ68-Lookups!D$172)*Lookups!G$172,$BJ68&lt;Lookups!D$172,$BJ68*Lookups!G$171), Setup!I$4=Lookups!D$112,-_xlfn.IFS($BJ68&gt;=Lookups!D$187, Lookups!F$187+($BJ68-Lookups!D$187)*Lookups!G$187,$BJ68&gt;=Lookups!D$186, Lookups!F$186+($BJ68-Lookups!D$186)*Lookups!G$186,$BJ68&gt;=Lookups!D$185, Lookups!F$185+($BJ68-Lookups!D$185)*Lookups!G$185,$BJ68&gt;=Lookups!D$184, Lookups!F$184+($BJ68-Lookups!D$184)*Lookups!G$184,$BJ68&gt;=Lookups!D$183, Lookups!F$183+($BJ68-Lookups!D$183)*Lookups!G$183,$BJ68&gt;=Lookups!D$182, Lookups!F$182+($BJ68-Lookups!D$182)*Lookups!G$182,$BJ68&lt;Lookups!D$182,$BJ68*Lookups!G$181)),0)</f>
        <v>0</v>
      </c>
      <c r="BL68" s="18">
        <f t="shared" si="42"/>
        <v>0</v>
      </c>
      <c r="BM68" s="134">
        <f t="shared" si="67"/>
        <v>0</v>
      </c>
      <c r="BN68" s="134" cm="1">
        <f t="array" aca="1" ref="BN68" ca="1">INDIRECT(Setup!I$6&amp;"!"&amp;"A"&amp;ROW())</f>
        <v>0</v>
      </c>
      <c r="BO68" s="134">
        <f t="shared" si="25"/>
        <v>0</v>
      </c>
      <c r="BP68" s="1">
        <f t="shared" si="43"/>
        <v>0</v>
      </c>
      <c r="BQ68" s="1">
        <f t="shared" si="26"/>
        <v>0</v>
      </c>
      <c r="BS68" s="1">
        <f t="shared" si="50"/>
        <v>0</v>
      </c>
      <c r="BT68" s="1" cm="1">
        <f t="array" ref="BT68">-IF(BS68&gt;0,_xlfn.IFS((AW68+BA68+BG68+BS68)&gt;=VLOOKUP(Setup!I$4,Lookups!C$210:E$213,3),BS68*Lookups!D$203,(AW68+BA68+BG68+BS68)&gt;=VLOOKUP(Setup!I$4,Lookups!C$210:E$213,2),BS68*Lookups!D$197,(AW68+BA68+BG68+BS68)&lt;VLOOKUP(Setup!I$4,Lookups!C$210:E$213,2),0),0)</f>
        <v>0</v>
      </c>
      <c r="BU68" s="18">
        <f t="shared" si="51"/>
        <v>0</v>
      </c>
      <c r="BV68" s="1">
        <f t="shared" si="52"/>
        <v>0</v>
      </c>
      <c r="BW68" s="1" cm="1">
        <f t="array" aca="1" ref="BW68" ca="1">INDIRECT(Setup!I$6&amp;"!"&amp;"A"&amp;ROW()+100)</f>
        <v>0</v>
      </c>
      <c r="BX68" s="1">
        <f t="shared" ca="1" si="44"/>
        <v>0</v>
      </c>
      <c r="BY68" s="1">
        <f t="shared" ca="1" si="45"/>
        <v>0</v>
      </c>
      <c r="CA68" s="1">
        <f t="shared" si="59"/>
        <v>0</v>
      </c>
      <c r="CC68" s="1" cm="1">
        <f t="array" ref="CC68">_xlfn.IFS(AND(A68&lt;$DA$4,B68&lt;$DB$4),0,AND(AND(A68&gt;=$DA$4,B68&gt;=$DB$4),AND(A68&lt;=$DA$6,B68&lt;=$DB$6),AND(BH68=0,BI68=0)),SUM(AW68,AY68:AZ68,BD68:BF68,BP68,BS68,CA68)-AQ68,AND(AND(A68&gt;=$DA$4,B68&gt;=$DB$4),AND(A68&lt;=$DA$6,B68&lt;=$DB$6)),SUM(AW68,AY68:AZ68,BD68:BF68,BS68,CA68)-AQ68,AND(OR(A68&gt;=$DA$4,B68&gt;=$DB$4),AND(BH68=0,BI68=0)),SUM(AW68,AY68:AZ68,BD68:BF68,BP68,BS68,CA68)-AP68,OR(A68&gt;=$DA$4,B68&gt;=$DB$4),SUM(AW68,AY68:AZ68,BD68:BF68,BS68,CA68)-AP68)</f>
        <v>0</v>
      </c>
      <c r="CD68" s="142" t="str">
        <f t="shared" si="30"/>
        <v/>
      </c>
    </row>
    <row r="69" spans="1:82" x14ac:dyDescent="0.3">
      <c r="A69" s="354">
        <f t="shared" si="68"/>
        <v>62</v>
      </c>
      <c r="B69" s="354">
        <f t="shared" si="69"/>
        <v>62</v>
      </c>
      <c r="C69" s="359">
        <f t="shared" si="33"/>
        <v>22647</v>
      </c>
      <c r="D69" s="326" cm="1">
        <f t="array" ref="D69">_xlfn.IFS(AND(A69&gt;DA$6,B69&gt;DB$6),0,AND(A69&gt;DA$3,A69&lt;=DA$4),D68*(1+DH$1),OR(A69&gt;DA$6,A69&gt;DA$4),(D68-BH68)*(1+DH$2),A69&lt;=DA$4,(D68*(1+DH$1))+(D$4))</f>
        <v>0</v>
      </c>
      <c r="E69" s="375"/>
      <c r="F69" s="326" cm="1">
        <f t="array" ref="F69">_xlfn.IFS(AND(A69&gt;DA$6,B69&gt;DB$6),0,AND(B69&gt;DB$3,B69&lt;=DB$4),F68*(1+DH$1),OR(B69&gt;DB$6,B69&gt;DB$4),(F68-BI68)*(1+DH$2),B69&lt;=DB$4,(F68*(1+DH$1))+(F$4))</f>
        <v>0</v>
      </c>
      <c r="G69" s="375"/>
      <c r="H69" s="1">
        <f t="shared" si="65"/>
        <v>0</v>
      </c>
      <c r="I69" s="2">
        <f t="shared" si="36"/>
        <v>0</v>
      </c>
      <c r="J69" s="14">
        <f t="shared" si="64"/>
        <v>0</v>
      </c>
      <c r="L69" s="402" cm="1">
        <f t="array" ref="L69">_xlfn.IFS(AND(A69&gt;DA$6,B69&gt;DB$6),0,A69&lt;DA$6,0,A69=DA$6,L$4,AND(A69&gt;DA$6,B69&lt;=DB$4),L68*(1+DH$1),AND(A69&gt;DA$6,B69&gt;DB$4),IF(Y68=0,0,(L68-((L68/Y68)*BY68))*(1+DH$2)))</f>
        <v>0</v>
      </c>
      <c r="M69" s="402" cm="1">
        <f t="array" ref="M69">_xlfn.IFS(AND(A69&gt;DA$6,B69&gt;DB$6),0,B69&lt;DB$6,0,B69=DB$6,M$4,AND(B69&gt;DB$6,A69&lt;=DA$4),M68*(1+DH$1),AND(A69&gt;DA$4,B69&gt;DB$6),IF(Y68=0,0,(M68-((M68/Y68)*BY68))*(1+DH$2)))</f>
        <v>0</v>
      </c>
      <c r="N69" s="327"/>
      <c r="O69" s="327" cm="1">
        <f t="array" ref="O69">_xlfn.IFS(OR(ISBLANK(Setup!C$63),Setup!C$63&gt;YEAR(C69),AND(A69&gt;DA$6,B69&gt;DB$6),ISBLANK(Y68)),0,Setup!C$63=YEAR(C69),Setup!C$62,AND(OR(A69&lt;=DA$4,B69&lt;=DB$4),Setup!C$63&lt;YEAR(C69)),O68*(1+DH$1),AND(A69&gt;DA$4,B69&gt;DB$4,Setup!C$63&lt;YEAR(C69)),IF(Y68=0,0,(O68-((O68/Y68)*BY68))*(1+DH$2)))</f>
        <v>0</v>
      </c>
      <c r="P69" s="327" cm="1">
        <f t="array" ref="P69">_xlfn.IFS(OR(ISBLANK(Setup!C$67),Setup!C$67&gt;YEAR(C69),AND(A69&gt;DA$6,B69&gt;DB$6)),0,Setup!C$67=YEAR(C69),Setup!C$66,AND(OR(A69&lt;=DA$4,B69&lt;=DB$4),Setup!C$67&lt;YEAR(C69)),P68*(1+DH$1),AND(A69&gt;DA$4,B69&gt;DB$4,Setup!C$67&lt;YEAR(C69)),IF(Y68=0,0,(P68-((P68/Y68)*BY68))*(1+DH$2)))</f>
        <v>0</v>
      </c>
      <c r="Q69" s="327" cm="1">
        <f t="array" ref="Q69">_xlfn.IFS(OR(ISBLANK(Setup!C$71),Setup!C$71&gt;YEAR(C69),AND(A69&gt;DA$6,B69&gt;DB$6)),0,Setup!C$71=YEAR(C69),Setup!C$70,AND(OR(A69&lt;=DA$4,B69&lt;=DB$4),Setup!C$71&lt;YEAR(C69)),Q68*(1+DH$1),AND(A69&gt;DA$4,B69&gt;DB$4,Setup!C$71&lt;YEAR(C69)),IF(Y68=0,0,(Q68-((Q68/Y68)*BY68))*(1+DH$2)))</f>
        <v>0</v>
      </c>
      <c r="R69" s="327" cm="1">
        <f t="array" ref="R69">_xlfn.IFS(OR(ISBLANK(Setup!C$75),Setup!C$75&gt;YEAR(C69),AND(A69&gt;DA$6,B69&gt;DB$6)),0,Setup!C$75=YEAR(C69),Setup!C$74,AND(OR(A69&lt;=DA$4,B69&lt;=DB$4),Setup!C$75&lt;YEAR(C69)),R68*(1+DH$1),AND(A69&gt;DA$4,B69&gt;DB$4,Setup!C$75&lt;YEAR(C69)),IF(Y68=0,0,(R68-((R68/Y68)*BY68))*(1+DH$2)))</f>
        <v>0</v>
      </c>
      <c r="S69" s="327"/>
      <c r="T69" s="326" cm="1">
        <f t="array" ref="T69">_xlfn.IFS(AND($A69&gt;$DA$6,$B69&gt;$DB$6),0,AND($W$2=$DA$2,$A69&gt;$DA$4),IF($Y68=0,0,(T68-((T68/$Y68)*$BY68))*(1+$DH$2)),AND($W$2=$DB$2,$B69&gt;$DB$4),IF($Y68=0,0,(T68-((T68/$Y68)*$BY68))*(1+$DH$2)),AND($W$2=$DA$2,OR($A69&gt;$DA$3,$A69&gt;$DA$6)),(T68*(1+$DH$1)),AND($W$2=$DB$2,OR($B69&gt;$DB$3,$B69&gt;$DB$6)),(T68*(1+$DH$1)),AND($W$2=$DA$2,$A69&lt;=$DA$3,$A69&lt;=$DA$4,$A69&lt;=$DA$5),(T68*(1+$DH$1))+(T$4),AND($W$2=$DB$2,$B69&lt;=$DB$3,$B69&lt;=$DB$4,$B69&lt;=$DB$5),(T68*(1+$DH$1))+(T$4))</f>
        <v>0</v>
      </c>
      <c r="U69" s="326" cm="1">
        <f t="array" ref="U69">_xlfn.IFS(AND($A69&gt;$DA$6,$B69&gt;$DB$6),0,AND($W$2=$DA$2,$A69&gt;$DA$4),IF($Y68=0,0,(U68-((U68/$Y68)*$BY68))*(1+$DH$2)),AND($W$2=$DB$2,$B69&gt;$DB$4),IF($Y68=0,0,(U68-((U68/$Y68)*$BY68))*(1+$DH$2)),AND($W$2=$DA$2,OR($A69&gt;$DA$3,$A69&gt;$DA$6)),(U68*(1+$DH$1)),AND($W$2=$DB$2,OR($B69&gt;$DB$3,$B69&gt;$DB$6)),(U68*(1+$DH$1)),AND($W$2=$DA$2,$A69&lt;=$DA$3,$A69&lt;=$DA$4,$A69&lt;=$DA$5),(U68*(1+$DH$1))+(U$4),AND($W$2=$DB$2,$B69&lt;=$DB$3,$B69&lt;=$DB$4,$B69&lt;=$DB$5),(U68*(1+$DH$1))+(U$4))</f>
        <v>0</v>
      </c>
      <c r="V69" s="326" cm="1">
        <f t="array" ref="V69">_xlfn.IFS(AND($A69&gt;$DA$6,$B69&gt;$DB$6),0,AND($W$2=$DA$2,$A69&gt;$DA$4),IF($Y68=0,0,(V68-((V68/$Y68)*$BY68))*(1+$DH$2)),AND($W$2=$DB$2,$B69&gt;$DB$4),IF($Y68=0,0,(V68-((V68/$Y68)*$BY68))*(1+$DH$2)),AND($W$2=$DA$2,OR($A69&gt;$DA$3,$A69&gt;$DA$6)),(V68*(1+$DH$1)),AND($W$2=$DB$2,OR($B69&gt;$DB$3,$B69&gt;$DB$6)),(V68*(1+$DH$1)),AND($W$2=$DA$2,$A69&lt;=$DA$3,$A69&lt;=$DA$4,$A69&lt;=$DA$5),(V68*(1+$DH$1))+(V$4),AND($W$2=$DB$2,$B69&lt;=$DB$3,$B69&lt;=$DB$4,$B69&lt;=$DB$5),(V68*(1+$DH$1))+(V$4))</f>
        <v>0</v>
      </c>
      <c r="W69" s="326" cm="1">
        <f t="array" ref="W69">_xlfn.IFS(AND($A69&gt;$DA$6,$B69&gt;$DB$6),0,AND($W$2=$DA$2,$A69&gt;$DA$4),IF($Y68=0,0,(W68-((W68/$Y68)*$BY68))*(1+$DH$2)),AND($W$2=$DB$2,$B69&gt;$DB$4),IF($Y68=0,0,(W68-((W68/$Y68)*$BY68))*(1+$DH$2)),AND($W$2=$DA$2,OR($A69&gt;$DA$3,$A69&gt;$DA$6)),(W68*(1+$DH$1)),AND($W$2=$DB$2,OR($B69&gt;$DB$3,$B69&gt;$DB$6)),(W68*(1+$DH$1)),AND($W$2=$DA$2,$A69&lt;=$DA$3,$A69&lt;=$DA$4,$A69&lt;=$DA$5),(W68*(1+$DH$1))+(W$4),AND($W$2=$DB$2,$B69&lt;=$DB$3,$B69&lt;=$DB$4,$B69&lt;=$DB$5),(W68*(1+$DH$1))+(W$4))</f>
        <v>0</v>
      </c>
      <c r="Y69" s="1">
        <f t="shared" si="47"/>
        <v>0</v>
      </c>
      <c r="Z69" s="2">
        <f t="shared" si="37"/>
        <v>0</v>
      </c>
      <c r="AA69" s="375"/>
      <c r="AC69" s="326" cm="1">
        <f t="array" ref="AC69">_xlfn.IFS(AND(A69&gt;DA$6,B69&gt;DB$6),0,AND(A69&gt;DA$4,B69&gt;DB$4),IF(AG68=0,0,(AC68-((AC68/AG68)*CA68))*(1+DH$2)),OR(A69&gt;DA$3,A69&gt;DA$6),AC68*(1+DH$1),A69&gt;DA$4,(AC68-CA68)*(1+DH$2),AND(A69&lt;=DA$3,A69&lt;=DA$4,A69&lt;=DA$6),(AC68*(1+DH$1))+(AC$4))</f>
        <v>0</v>
      </c>
      <c r="AD69" s="375"/>
      <c r="AE69" s="326" cm="1">
        <f t="array" ref="AE69">_xlfn.IFS(AND(A69&gt;DA$6,B69&gt;DB$6),0,AND(A69&gt;DA$4,B69&gt;DB$4),IF(AG68=0,0,(AE68-((AE68/AG68)*CA68))*(1+DH$2)),OR(B69&gt;DB$3,B69&gt;DB$6),AE68*(1+DH$1),B69&gt;DB$4,(AE68-CA68)*(1+DH$2),AND(B69&lt;=DB$3,B69&lt;=DB$4,B69&lt;=DB$6),(AE68*(1+DH$1))+(AE$4))</f>
        <v>0</v>
      </c>
      <c r="AF69" s="375"/>
      <c r="AG69" s="1">
        <f t="shared" si="61"/>
        <v>0</v>
      </c>
      <c r="AH69" s="2">
        <f t="shared" si="48"/>
        <v>0</v>
      </c>
      <c r="AI69" s="14">
        <f t="shared" si="38"/>
        <v>0</v>
      </c>
      <c r="AK69" s="1">
        <f t="shared" si="49"/>
        <v>0</v>
      </c>
      <c r="AL69" s="14">
        <f t="shared" si="39"/>
        <v>0</v>
      </c>
      <c r="AM69" s="14" t="str">
        <f t="shared" si="23"/>
        <v/>
      </c>
      <c r="AO69" s="15">
        <f t="shared" si="40"/>
        <v>0</v>
      </c>
      <c r="AP69" s="1">
        <f>IF(AND(B69&gt;=$DB$6,A69&gt;=$DA$6),0,AP68*(1+Lookups!C$12))</f>
        <v>0</v>
      </c>
      <c r="AQ69" s="1">
        <f>IF(AND(B69&gt;=$DB$6,A69&gt;=$DA$6),0,AQ68*(1+Lookups!C$12))</f>
        <v>0</v>
      </c>
      <c r="AS69" s="1" cm="1">
        <f t="array" ref="AS69">_xlfn.IFS(OR(AS$6="",AND(A69&gt;=DA$6,B69&gt;=DB$6),AND(A69&lt;DA$4,B69&lt;DB$4)),0,AND(A69=DA$4,DA$4&lt;=DB$4),AS$6,AND(B69=DB$4,DA$4&gt;=DB$4),AS$6,OR(A69&gt;DA$4,B69&gt;DB$4),AS68*(1+Setup!C$103))</f>
        <v>0</v>
      </c>
      <c r="AT69" s="1" cm="1">
        <f t="array" ref="AT69">_xlfn.IFS(OR(AT$6="",AND(A69&gt;=DA$6,B69&gt;=DB$6),AND(A69&lt;DA$4,B69&lt;DB$4)),0,AND(A69=DA$4,DA$4&lt;=DB$4),AT$6,AND(B69=DB$4,DA$4&gt;=DB$4),AT$6,OR(A69&gt;DA$4,B69&gt;DB$4),AT68*(1+Setup!C$103))</f>
        <v>0</v>
      </c>
      <c r="AU69" s="1" cm="1">
        <f t="array" ref="AU69">_xlfn.IFS(OR(AU$6="",AND(A69&gt;=DA$6,B69&gt;=DB$6),AND(A69&lt;DA$4,B69&lt;DB$4)),0,AND(A69=DA$4,DA$4&lt;=DB$4),AU$6,AND(B69=DB$4,DA$4&gt;=DB$4),AU$6,OR(A69&gt;DA$4,B69&gt;DB$4),AU68*(1+Setup!C$103))</f>
        <v>0</v>
      </c>
      <c r="AV69" s="1" cm="1">
        <f t="array" ref="AV69">_xlfn.IFS(OR(AV$6="",AND(A69&gt;=DA$6,B69&gt;=DB$6),AND(A69&lt;DA$4,B69&lt;DB$4)),0,AND(A69=DA$4,DA$4&lt;=DB$4),AV$6,AND(B69=DB$4,DA$4&gt;=DB$4),AV$6,OR(A69&gt;DA$4,B69&gt;DB$4),AV68*(1+Setup!C$103))</f>
        <v>0</v>
      </c>
      <c r="AW69" s="1">
        <f t="shared" si="41"/>
        <v>0</v>
      </c>
      <c r="AY69" s="1" cm="1">
        <f t="array" ref="AY69">_xlfn.IFS(OR(AND(A69&gt;=DA$6,B69&gt;=DB$6),A69&lt;DA$5),0,AND(A69=DA$5,YEAR(C69)&gt;=Lookups!D$89),VLOOKUP(A69,Lookups!B$94:F$102,3),AND(A69=DA$5,YEAR(C69)&lt;Lookups!D$89),VLOOKUP(A69,Lookups!B$94:F$102,2),AND(A69&gt;DA$5,YEAR(C69)=Lookups!D$89),(AY68*Lookups!D$90)*(1+Lookups!C$20),AND(A69&gt;DA$5,YEAR(C69)&lt;&gt;Lookups!D$89),AY68*(1+Lookups!C$20))</f>
        <v>0</v>
      </c>
      <c r="AZ69" s="1" cm="1">
        <f t="array" ref="AZ69">_xlfn.IFS(OR(ISBLANK(Setup!K$91),Setup!K$91=0,AND(A69&gt;=DA$6,B69&gt;=DB$6),B69&lt;DB$5),0,AND(B69=DB$5,YEAR(C69)&gt;=Lookups!D$89),VLOOKUP(B69,Lookups!B$94:F$102,5),AND(B69=DB$5,YEAR(C69)&lt;Lookups!D$89),VLOOKUP(B69,Lookups!B$94:F$102,4),AND(B69&gt;DB$5,YEAR(C69)=Lookups!D$89),(AZ68*Lookups!D$90)*(1+Lookups!C$20),AND(B69&gt;DB$5,YEAR(C69)&lt;&gt;Lookups!D$89),AZ68*(1+Lookups!C$20))</f>
        <v>0</v>
      </c>
      <c r="BA69" s="65">
        <f>IF(OR(AY69&gt;0,AZ69&gt;0),(AY69+AZ69)*Lookups!D$120,0)</f>
        <v>0</v>
      </c>
      <c r="BB69" s="1" cm="1">
        <f t="array" ref="BB69">_xlfn.IFS(AND(A69&lt;DA$4,B69&lt;DB$4),0,OR(_xlfn.XOR(A69&gt;DA$6,B69&gt;DB$6),_xlfn.XOR(A69&gt;=DA$4,B69&gt;=DB$4)),IF(AP69-SUM(AW69,AY69:AZ69)&gt;0,AP69-SUM(AW69,AY69:AZ69),0),AQ69-SUM(AW69,AY69:AZ69)&gt;0, AQ69-SUM(AW69,AY69:AZ69),AQ69-SUM(AW69,AY69:AZ69)&lt;=0,0)</f>
        <v>0</v>
      </c>
      <c r="BD69" s="1" cm="1">
        <f t="array" ref="BD69">_xlfn.IFS(AND(A69&gt;=DA$6,B69&gt;=DB$6),0,AND(A69&gt;=DA$6,B69&gt;=Lookups!C$35),D69/VLOOKUP(B69,Lookups!C$37:D$67,2),A69&lt;Lookups!$C$35,0,A69&gt;=Lookups!C$35,D69/VLOOKUP(A69,Lookups!C$37:D$67,2))</f>
        <v>0</v>
      </c>
      <c r="BE69" s="1" cm="1">
        <f t="array" ref="BE69">_xlfn.IFS(AND(A69&gt;=DA$6,B69&gt;=DB$6),0,AND(B69&gt;=DB$6,A69&gt;=Lookups!C$35),F69/VLOOKUP(A69,Lookups!C$37:D$67,2),B69&lt;Lookups!$C$35,0,B69&gt;=Lookups!C$35,F69/VLOOKUP(B69,Lookups!C$37:D$67,2))</f>
        <v>0</v>
      </c>
      <c r="BF69" s="1" cm="1">
        <f t="array" ref="BF69">_xlfn.IFS($BB69&lt;=0,0,AND(A69&gt;=DA$4,B69&gt;=DB$4,$BB69*I69&lt;(BD69+BE69)),0,AND(A69&gt;=DA$4,B69&gt;=DB$4,H69&gt;=(BB69*I69)-BD69-BE69),(BB69*I69)-BD69-BE69,AND(A69&gt;=DA$4,B69&gt;=DB$4,H69&lt;(BB69*I69)-BD69-BE69),H69,AND(A69&gt;=DA$4,$BB69*I69&lt;(BD69)),0,AND(A69&gt;=DA$4,H69&gt;=(BB69*I69)-BD69),(BB69*I69)-BD69,AND(A69&gt;=DA$4,H69&lt;(BB69*I69)-BD69),H69,AND(B69&gt;=DB$4,$BB69*I69&lt;(BE69)),0,AND(B69&gt;=DB$4,H69&gt;=(BB69*I69)-BE69),(BB69*I69)-BE69,AND(B69&gt;=DB$4,H69&lt;(BB69*I69)-BE69),H69)</f>
        <v>0</v>
      </c>
      <c r="BG69" s="1">
        <f t="shared" si="66"/>
        <v>0</v>
      </c>
      <c r="BH69" s="1" cm="1">
        <f t="array" ref="BH69">_xlfn.IFS(OR(D69=0,A69&lt;DA$4),0,AND(A69&gt;=DA$4,B69&gt;=DB$4,D69&lt;BD69+($BF69*(D69/$H69))+(-$BP69*(D69/$H69))),D69,AND(A69&gt;=DA$4,B69&gt;=DB$4,$BB69&gt;$BG69),BD69+($BF69*(D69/$H69))+(-$BP69*(D69/$H69)),AND(A69&gt;=DA$4,B69&gt;=DB$4,OR(A69&gt;DA$6, B69&gt;DB$6),$AP69-SUM($AW69,$AY69:$AZ69)&lt;0),BD69+($BF69*(D69/$H69))+(-$BP69*(D69/$H69))+(BP69*(D69/$H69)),AND(A69&gt;=DA$4,B69&gt;=DB$4,$AQ69-SUM($AW69,$AY69:$AZ69)&lt;0),BD69+($BF69*(D69/$H69))+(-$BP69*(D69/$H69))+(BP69*(D69/$H69)),AND(A69&gt;=DA$4,D69&lt;BD69+$BF69-$BP69),D69,AND(A69&gt;=DA$4,$AP69-SUM($AW69,$AY69:$AZ69)&lt;0),BD69+($BF69*(D69/$H69))+(-$BP69*(D69/$H69))+(BP69*(D69/$H69)),A69&gt;=DA$4,BD69+$BF69-$BP69)</f>
        <v>0</v>
      </c>
      <c r="BI69" s="1" cm="1">
        <f t="array" ref="BI69">_xlfn.IFS(OR(F69=0,B69&lt;DB$4),0,AND(A69&gt;=DA$4,B69&gt;=DB$4,F69&lt;BE69+($BF69*(F69/$H69))+(-$BP69*(F69/$H69))),F69,AND(A69&gt;=DA$4,B69&gt;=DB$4,$BB69&gt;$BG69),BE69+($BF69*(F69/$H69))+(-$BP69*(F69/$H69)),AND(A69&gt;=DA$4,B69&gt;=DB$4,OR(A69&gt;DA$6, B69&gt;DB$6),$AP69-SUM($AW69,$AY69:$AZ69)&lt;0),BE69+($BF69*(F69/$H69))+(-$BP69*(F69/$H69))+(BP69*(F69/$H69)),AND(A69&gt;=DA$4,B69&gt;=DB$4,$AQ69-SUM($AW69,$AY69:$AZ69)&lt;0),BE69+($BF69*(F69/$H69))+(-$BP69*(F69/$H69))+(BP69*(F69/$H69)),AND(B69&gt;=DB$4,F69&lt;BE69+$BF69-$BP69),F69,AND(B69&gt;=DB$4,$AP69-SUM($AW69,$AY69:$AZ69)&lt;0),BE69+($BF69*(F69/$H69))+(-$BP69*(F69/$H69))+(BP69*(F69/$H69)),B69&gt;=DB$4,BE69+$BF69-$BP69)</f>
        <v>0</v>
      </c>
      <c r="BJ69" s="64" cm="1">
        <f t="array" ref="BJ69">IF(AW69+BA69+BG69&gt;0, AW69+BA69+BG69-_xlfn.IFS(AND(A69&gt;=65,B69&gt;=65),VLOOKUP(Setup!I$4,Lookups!C$133:F$136,4),OR(A69&gt;=65,B69&gt;=65),VLOOKUP(Setup!I$4,Lookups!C$133:E$136,3),AND(A69&lt;65,B69&lt;65),VLOOKUP(Setup!I$4,Lookups!C$133:D$136,2)),0)</f>
        <v>0</v>
      </c>
      <c r="BK69" s="1" cm="1">
        <f t="array" ref="BK69">IF(BJ69&gt;0,_xlfn.IFS(Setup!I$4=Lookups!D$109,-_xlfn.IFS($BJ69&gt;=Lookups!D$157, Lookups!F$157+($BJ69-Lookups!D$157)*Lookups!G$157,$BJ69&gt;=Lookups!D$156, Lookups!F$156+($BJ69-Lookups!D$156)*Lookups!G$156,$BJ69&gt;=Lookups!D$155, Lookups!F$155+($BJ69-Lookups!D$155)*Lookups!G$155,$BJ69&gt;=Lookups!D$154, Lookups!F$154+($BJ69-Lookups!D$154)*Lookups!G$154,$BJ69&gt;=Lookups!D$153, Lookups!F$153+($BJ69-Lookups!D$153)*Lookups!G$153,$BJ69&gt;=Lookups!D$152, Lookups!F$152+($BJ69-Lookups!D$152)*Lookups!G$152,$BJ69&lt;Lookups!D$152,$BJ69*Lookups!G$151),Setup!I$4=Lookups!D$110,-_xlfn.IFS($BJ69&gt;=Lookups!D$167, Lookups!F$167+($BJ69-Lookups!D$167)*Lookups!G$167,$BJ69&gt;=Lookups!D$166, Lookups!F$166+($BJ69-Lookups!D$166)*Lookups!G$166,$BJ69&gt;=Lookups!D$165, Lookups!F$165+($BJ69-Lookups!D$165)*Lookups!G$165,$BJ69&gt;=Lookups!D$164, Lookups!F$164+($BJ69-Lookups!D$164)*Lookups!G$164,$BJ69&gt;=Lookups!D$163, Lookups!F$163+($BJ69-Lookups!D$163)*Lookups!G$163,$BJ69&gt;=Lookups!D$162, Lookups!F$162+($BJ69-Lookups!D$162)*Lookups!G$162,$BJ69&lt;Lookups!D$162,$BJ69*Lookups!G$161),Setup!I$4=Lookups!D$111,-_xlfn.IFS($BJ69&gt;=Lookups!D$177, Lookups!F$177+($BJ69-Lookups!D$177)*Lookups!G$177,$BJ69&gt;=Lookups!D$176, Lookups!F$176+($BJ69-Lookups!D$176)*Lookups!G$176,$BJ69&gt;=Lookups!D$175, Lookups!F$175+($BJ69-Lookups!D$175)*Lookups!G$175,$BJ69&gt;=Lookups!D$174, Lookups!F$174+($BJ69-Lookups!D$174)*Lookups!G$174,$BJ69&gt;=Lookups!D$173, Lookups!F$173+($BJ69-Lookups!D$173)*Lookups!G$173,$BJ69&gt;=Lookups!D$172, Lookups!F$172+($BJ69-Lookups!D$172)*Lookups!G$172,$BJ69&lt;Lookups!D$172,$BJ69*Lookups!G$171), Setup!I$4=Lookups!D$112,-_xlfn.IFS($BJ69&gt;=Lookups!D$187, Lookups!F$187+($BJ69-Lookups!D$187)*Lookups!G$187,$BJ69&gt;=Lookups!D$186, Lookups!F$186+($BJ69-Lookups!D$186)*Lookups!G$186,$BJ69&gt;=Lookups!D$185, Lookups!F$185+($BJ69-Lookups!D$185)*Lookups!G$185,$BJ69&gt;=Lookups!D$184, Lookups!F$184+($BJ69-Lookups!D$184)*Lookups!G$184,$BJ69&gt;=Lookups!D$183, Lookups!F$183+($BJ69-Lookups!D$183)*Lookups!G$183,$BJ69&gt;=Lookups!D$182, Lookups!F$182+($BJ69-Lookups!D$182)*Lookups!G$182,$BJ69&lt;Lookups!D$182,$BJ69*Lookups!G$181)),0)</f>
        <v>0</v>
      </c>
      <c r="BL69" s="18">
        <f t="shared" si="42"/>
        <v>0</v>
      </c>
      <c r="BM69" s="134">
        <f t="shared" si="67"/>
        <v>0</v>
      </c>
      <c r="BN69" s="134" cm="1">
        <f t="array" aca="1" ref="BN69" ca="1">INDIRECT(Setup!I$6&amp;"!"&amp;"A"&amp;ROW())</f>
        <v>0</v>
      </c>
      <c r="BO69" s="134">
        <f t="shared" si="25"/>
        <v>0</v>
      </c>
      <c r="BP69" s="1">
        <f t="shared" si="43"/>
        <v>0</v>
      </c>
      <c r="BQ69" s="1">
        <f t="shared" si="26"/>
        <v>0</v>
      </c>
      <c r="BS69" s="1">
        <f t="shared" si="50"/>
        <v>0</v>
      </c>
      <c r="BT69" s="1" cm="1">
        <f t="array" ref="BT69">-IF(BS69&gt;0,_xlfn.IFS((AW69+BA69+BG69+BS69)&gt;=VLOOKUP(Setup!I$4,Lookups!C$210:E$213,3),BS69*Lookups!D$203,(AW69+BA69+BG69+BS69)&gt;=VLOOKUP(Setup!I$4,Lookups!C$210:E$213,2),BS69*Lookups!D$197,(AW69+BA69+BG69+BS69)&lt;VLOOKUP(Setup!I$4,Lookups!C$210:E$213,2),0),0)</f>
        <v>0</v>
      </c>
      <c r="BU69" s="18">
        <f t="shared" si="51"/>
        <v>0</v>
      </c>
      <c r="BV69" s="1">
        <f t="shared" si="52"/>
        <v>0</v>
      </c>
      <c r="BW69" s="1" cm="1">
        <f t="array" aca="1" ref="BW69" ca="1">INDIRECT(Setup!I$6&amp;"!"&amp;"A"&amp;ROW()+100)</f>
        <v>0</v>
      </c>
      <c r="BX69" s="1">
        <f t="shared" ca="1" si="44"/>
        <v>0</v>
      </c>
      <c r="BY69" s="1">
        <f t="shared" ca="1" si="45"/>
        <v>0</v>
      </c>
      <c r="CA69" s="1">
        <f t="shared" si="59"/>
        <v>0</v>
      </c>
      <c r="CC69" s="1" cm="1">
        <f t="array" ref="CC69">_xlfn.IFS(AND(A69&lt;$DA$4,B69&lt;$DB$4),0,AND(AND(A69&gt;=$DA$4,B69&gt;=$DB$4),AND(A69&lt;=$DA$6,B69&lt;=$DB$6),AND(BH69=0,BI69=0)),SUM(AW69,AY69:AZ69,BD69:BF69,BP69,BS69,CA69)-AQ69,AND(AND(A69&gt;=$DA$4,B69&gt;=$DB$4),AND(A69&lt;=$DA$6,B69&lt;=$DB$6)),SUM(AW69,AY69:AZ69,BD69:BF69,BS69,CA69)-AQ69,AND(OR(A69&gt;=$DA$4,B69&gt;=$DB$4),AND(BH69=0,BI69=0)),SUM(AW69,AY69:AZ69,BD69:BF69,BP69,BS69,CA69)-AP69,OR(A69&gt;=$DA$4,B69&gt;=$DB$4),SUM(AW69,AY69:AZ69,BD69:BF69,BS69,CA69)-AP69)</f>
        <v>0</v>
      </c>
      <c r="CD69" s="142" t="str">
        <f t="shared" si="30"/>
        <v/>
      </c>
    </row>
    <row r="70" spans="1:82" x14ac:dyDescent="0.3">
      <c r="A70" s="354">
        <f t="shared" si="68"/>
        <v>63</v>
      </c>
      <c r="B70" s="354">
        <f t="shared" si="69"/>
        <v>63</v>
      </c>
      <c r="C70" s="359">
        <f t="shared" si="33"/>
        <v>23012</v>
      </c>
      <c r="D70" s="326" cm="1">
        <f t="array" ref="D70">_xlfn.IFS(AND(A70&gt;DA$6,B70&gt;DB$6),0,AND(A70&gt;DA$3,A70&lt;=DA$4),D69*(1+DH$1),OR(A70&gt;DA$6,A70&gt;DA$4),(D69-BH69)*(1+DH$2),A70&lt;=DA$4,(D69*(1+DH$1))+(D$4))</f>
        <v>0</v>
      </c>
      <c r="E70" s="375"/>
      <c r="F70" s="326" cm="1">
        <f t="array" ref="F70">_xlfn.IFS(AND(A70&gt;DA$6,B70&gt;DB$6),0,AND(B70&gt;DB$3,B70&lt;=DB$4),F69*(1+DH$1),OR(B70&gt;DB$6,B70&gt;DB$4),(F69-BI69)*(1+DH$2),B70&lt;=DB$4,(F69*(1+DH$1))+(F$4))</f>
        <v>0</v>
      </c>
      <c r="G70" s="375"/>
      <c r="H70" s="1">
        <f t="shared" si="65"/>
        <v>0</v>
      </c>
      <c r="I70" s="2">
        <f t="shared" si="36"/>
        <v>0</v>
      </c>
      <c r="J70" s="14">
        <f t="shared" si="64"/>
        <v>0</v>
      </c>
      <c r="L70" s="402" cm="1">
        <f t="array" ref="L70">_xlfn.IFS(AND(A70&gt;DA$6,B70&gt;DB$6),0,A70&lt;DA$6,0,A70=DA$6,L$4,AND(A70&gt;DA$6,B70&lt;=DB$4),L69*(1+DH$1),AND(A70&gt;DA$6,B70&gt;DB$4),IF(Y69=0,0,(L69-((L69/Y69)*BY69))*(1+DH$2)))</f>
        <v>0</v>
      </c>
      <c r="M70" s="402" cm="1">
        <f t="array" ref="M70">_xlfn.IFS(AND(A70&gt;DA$6,B70&gt;DB$6),0,B70&lt;DB$6,0,B70=DB$6,M$4,AND(B70&gt;DB$6,A70&lt;=DA$4),M69*(1+DH$1),AND(A70&gt;DA$4,B70&gt;DB$6),IF(Y69=0,0,(M69-((M69/Y69)*BY69))*(1+DH$2)))</f>
        <v>0</v>
      </c>
      <c r="N70" s="327"/>
      <c r="O70" s="327" cm="1">
        <f t="array" ref="O70">_xlfn.IFS(OR(ISBLANK(Setup!C$63),Setup!C$63&gt;YEAR(C70),AND(A70&gt;DA$6,B70&gt;DB$6),ISBLANK(Y69)),0,Setup!C$63=YEAR(C70),Setup!C$62,AND(OR(A70&lt;=DA$4,B70&lt;=DB$4),Setup!C$63&lt;YEAR(C70)),O69*(1+DH$1),AND(A70&gt;DA$4,B70&gt;DB$4,Setup!C$63&lt;YEAR(C70)),IF(Y69=0,0,(O69-((O69/Y69)*BY69))*(1+DH$2)))</f>
        <v>0</v>
      </c>
      <c r="P70" s="327" cm="1">
        <f t="array" ref="P70">_xlfn.IFS(OR(ISBLANK(Setup!C$67),Setup!C$67&gt;YEAR(C70),AND(A70&gt;DA$6,B70&gt;DB$6)),0,Setup!C$67=YEAR(C70),Setup!C$66,AND(OR(A70&lt;=DA$4,B70&lt;=DB$4),Setup!C$67&lt;YEAR(C70)),P69*(1+DH$1),AND(A70&gt;DA$4,B70&gt;DB$4,Setup!C$67&lt;YEAR(C70)),IF(Y69=0,0,(P69-((P69/Y69)*BY69))*(1+DH$2)))</f>
        <v>0</v>
      </c>
      <c r="Q70" s="327" cm="1">
        <f t="array" ref="Q70">_xlfn.IFS(OR(ISBLANK(Setup!C$71),Setup!C$71&gt;YEAR(C70),AND(A70&gt;DA$6,B70&gt;DB$6)),0,Setup!C$71=YEAR(C70),Setup!C$70,AND(OR(A70&lt;=DA$4,B70&lt;=DB$4),Setup!C$71&lt;YEAR(C70)),Q69*(1+DH$1),AND(A70&gt;DA$4,B70&gt;DB$4,Setup!C$71&lt;YEAR(C70)),IF(Y69=0,0,(Q69-((Q69/Y69)*BY69))*(1+DH$2)))</f>
        <v>0</v>
      </c>
      <c r="R70" s="327" cm="1">
        <f t="array" ref="R70">_xlfn.IFS(OR(ISBLANK(Setup!C$75),Setup!C$75&gt;YEAR(C70),AND(A70&gt;DA$6,B70&gt;DB$6)),0,Setup!C$75=YEAR(C70),Setup!C$74,AND(OR(A70&lt;=DA$4,B70&lt;=DB$4),Setup!C$75&lt;YEAR(C70)),R69*(1+DH$1),AND(A70&gt;DA$4,B70&gt;DB$4,Setup!C$75&lt;YEAR(C70)),IF(Y69=0,0,(R69-((R69/Y69)*BY69))*(1+DH$2)))</f>
        <v>0</v>
      </c>
      <c r="S70" s="327"/>
      <c r="T70" s="326" cm="1">
        <f t="array" ref="T70">_xlfn.IFS(AND($A70&gt;$DA$6,$B70&gt;$DB$6),0,AND($W$2=$DA$2,$A70&gt;$DA$4),IF($Y69=0,0,(T69-((T69/$Y69)*$BY69))*(1+$DH$2)),AND($W$2=$DB$2,$B70&gt;$DB$4),IF($Y69=0,0,(T69-((T69/$Y69)*$BY69))*(1+$DH$2)),AND($W$2=$DA$2,OR($A70&gt;$DA$3,$A70&gt;$DA$6)),(T69*(1+$DH$1)),AND($W$2=$DB$2,OR($B70&gt;$DB$3,$B70&gt;$DB$6)),(T69*(1+$DH$1)),AND($W$2=$DA$2,$A70&lt;=$DA$3,$A70&lt;=$DA$4,$A70&lt;=$DA$5),(T69*(1+$DH$1))+(T$4),AND($W$2=$DB$2,$B70&lt;=$DB$3,$B70&lt;=$DB$4,$B70&lt;=$DB$5),(T69*(1+$DH$1))+(T$4))</f>
        <v>0</v>
      </c>
      <c r="U70" s="326" cm="1">
        <f t="array" ref="U70">_xlfn.IFS(AND($A70&gt;$DA$6,$B70&gt;$DB$6),0,AND($W$2=$DA$2,$A70&gt;$DA$4),IF($Y69=0,0,(U69-((U69/$Y69)*$BY69))*(1+$DH$2)),AND($W$2=$DB$2,$B70&gt;$DB$4),IF($Y69=0,0,(U69-((U69/$Y69)*$BY69))*(1+$DH$2)),AND($W$2=$DA$2,OR($A70&gt;$DA$3,$A70&gt;$DA$6)),(U69*(1+$DH$1)),AND($W$2=$DB$2,OR($B70&gt;$DB$3,$B70&gt;$DB$6)),(U69*(1+$DH$1)),AND($W$2=$DA$2,$A70&lt;=$DA$3,$A70&lt;=$DA$4,$A70&lt;=$DA$5),(U69*(1+$DH$1))+(U$4),AND($W$2=$DB$2,$B70&lt;=$DB$3,$B70&lt;=$DB$4,$B70&lt;=$DB$5),(U69*(1+$DH$1))+(U$4))</f>
        <v>0</v>
      </c>
      <c r="V70" s="326" cm="1">
        <f t="array" ref="V70">_xlfn.IFS(AND($A70&gt;$DA$6,$B70&gt;$DB$6),0,AND($W$2=$DA$2,$A70&gt;$DA$4),IF($Y69=0,0,(V69-((V69/$Y69)*$BY69))*(1+$DH$2)),AND($W$2=$DB$2,$B70&gt;$DB$4),IF($Y69=0,0,(V69-((V69/$Y69)*$BY69))*(1+$DH$2)),AND($W$2=$DA$2,OR($A70&gt;$DA$3,$A70&gt;$DA$6)),(V69*(1+$DH$1)),AND($W$2=$DB$2,OR($B70&gt;$DB$3,$B70&gt;$DB$6)),(V69*(1+$DH$1)),AND($W$2=$DA$2,$A70&lt;=$DA$3,$A70&lt;=$DA$4,$A70&lt;=$DA$5),(V69*(1+$DH$1))+(V$4),AND($W$2=$DB$2,$B70&lt;=$DB$3,$B70&lt;=$DB$4,$B70&lt;=$DB$5),(V69*(1+$DH$1))+(V$4))</f>
        <v>0</v>
      </c>
      <c r="W70" s="326" cm="1">
        <f t="array" ref="W70">_xlfn.IFS(AND($A70&gt;$DA$6,$B70&gt;$DB$6),0,AND($W$2=$DA$2,$A70&gt;$DA$4),IF($Y69=0,0,(W69-((W69/$Y69)*$BY69))*(1+$DH$2)),AND($W$2=$DB$2,$B70&gt;$DB$4),IF($Y69=0,0,(W69-((W69/$Y69)*$BY69))*(1+$DH$2)),AND($W$2=$DA$2,OR($A70&gt;$DA$3,$A70&gt;$DA$6)),(W69*(1+$DH$1)),AND($W$2=$DB$2,OR($B70&gt;$DB$3,$B70&gt;$DB$6)),(W69*(1+$DH$1)),AND($W$2=$DA$2,$A70&lt;=$DA$3,$A70&lt;=$DA$4,$A70&lt;=$DA$5),(W69*(1+$DH$1))+(W$4),AND($W$2=$DB$2,$B70&lt;=$DB$3,$B70&lt;=$DB$4,$B70&lt;=$DB$5),(W69*(1+$DH$1))+(W$4))</f>
        <v>0</v>
      </c>
      <c r="Y70" s="1">
        <f t="shared" si="47"/>
        <v>0</v>
      </c>
      <c r="Z70" s="2">
        <f t="shared" si="37"/>
        <v>0</v>
      </c>
      <c r="AA70" s="375"/>
      <c r="AC70" s="326" cm="1">
        <f t="array" ref="AC70">_xlfn.IFS(AND(A70&gt;DA$6,B70&gt;DB$6),0,AND(A70&gt;DA$4,B70&gt;DB$4),IF(AG69=0,0,(AC69-((AC69/AG69)*CA69))*(1+DH$2)),OR(A70&gt;DA$3,A70&gt;DA$6),AC69*(1+DH$1),A70&gt;DA$4,(AC69-CA69)*(1+DH$2),AND(A70&lt;=DA$3,A70&lt;=DA$4,A70&lt;=DA$6),(AC69*(1+DH$1))+(AC$4))</f>
        <v>0</v>
      </c>
      <c r="AD70" s="375"/>
      <c r="AE70" s="326" cm="1">
        <f t="array" ref="AE70">_xlfn.IFS(AND(A70&gt;DA$6,B70&gt;DB$6),0,AND(A70&gt;DA$4,B70&gt;DB$4),IF(AG69=0,0,(AE69-((AE69/AG69)*CA69))*(1+DH$2)),OR(B70&gt;DB$3,B70&gt;DB$6),AE69*(1+DH$1),B70&gt;DB$4,(AE69-CA69)*(1+DH$2),AND(B70&lt;=DB$3,B70&lt;=DB$4,B70&lt;=DB$6),(AE69*(1+DH$1))+(AE$4))</f>
        <v>0</v>
      </c>
      <c r="AF70" s="375"/>
      <c r="AG70" s="1">
        <f t="shared" si="61"/>
        <v>0</v>
      </c>
      <c r="AH70" s="2">
        <f t="shared" si="48"/>
        <v>0</v>
      </c>
      <c r="AI70" s="14">
        <f t="shared" si="38"/>
        <v>0</v>
      </c>
      <c r="AK70" s="1">
        <f t="shared" si="49"/>
        <v>0</v>
      </c>
      <c r="AL70" s="14">
        <f t="shared" si="39"/>
        <v>0</v>
      </c>
      <c r="AM70" s="14" t="str">
        <f t="shared" si="23"/>
        <v/>
      </c>
      <c r="AO70" s="15">
        <f t="shared" si="40"/>
        <v>0</v>
      </c>
      <c r="AP70" s="1">
        <f>IF(AND(B70&gt;=$DB$6,A70&gt;=$DA$6),0,AP69*(1+Lookups!C$12))</f>
        <v>0</v>
      </c>
      <c r="AQ70" s="1">
        <f>IF(AND(B70&gt;=$DB$6,A70&gt;=$DA$6),0,AQ69*(1+Lookups!C$12))</f>
        <v>0</v>
      </c>
      <c r="AS70" s="1" cm="1">
        <f t="array" ref="AS70">_xlfn.IFS(OR(AS$6="",AND(A70&gt;=DA$6,B70&gt;=DB$6),AND(A70&lt;DA$4,B70&lt;DB$4)),0,AND(A70=DA$4,DA$4&lt;=DB$4),AS$6,AND(B70=DB$4,DA$4&gt;=DB$4),AS$6,OR(A70&gt;DA$4,B70&gt;DB$4),AS69*(1+Setup!C$103))</f>
        <v>0</v>
      </c>
      <c r="AT70" s="1" cm="1">
        <f t="array" ref="AT70">_xlfn.IFS(OR(AT$6="",AND(A70&gt;=DA$6,B70&gt;=DB$6),AND(A70&lt;DA$4,B70&lt;DB$4)),0,AND(A70=DA$4,DA$4&lt;=DB$4),AT$6,AND(B70=DB$4,DA$4&gt;=DB$4),AT$6,OR(A70&gt;DA$4,B70&gt;DB$4),AT69*(1+Setup!C$103))</f>
        <v>0</v>
      </c>
      <c r="AU70" s="1" cm="1">
        <f t="array" ref="AU70">_xlfn.IFS(OR(AU$6="",AND(A70&gt;=DA$6,B70&gt;=DB$6),AND(A70&lt;DA$4,B70&lt;DB$4)),0,AND(A70=DA$4,DA$4&lt;=DB$4),AU$6,AND(B70=DB$4,DA$4&gt;=DB$4),AU$6,OR(A70&gt;DA$4,B70&gt;DB$4),AU69*(1+Setup!C$103))</f>
        <v>0</v>
      </c>
      <c r="AV70" s="1" cm="1">
        <f t="array" ref="AV70">_xlfn.IFS(OR(AV$6="",AND(A70&gt;=DA$6,B70&gt;=DB$6),AND(A70&lt;DA$4,B70&lt;DB$4)),0,AND(A70=DA$4,DA$4&lt;=DB$4),AV$6,AND(B70=DB$4,DA$4&gt;=DB$4),AV$6,OR(A70&gt;DA$4,B70&gt;DB$4),AV69*(1+Setup!C$103))</f>
        <v>0</v>
      </c>
      <c r="AW70" s="1">
        <f t="shared" si="41"/>
        <v>0</v>
      </c>
      <c r="AY70" s="1" cm="1">
        <f t="array" ref="AY70">_xlfn.IFS(OR(AND(A70&gt;=DA$6,B70&gt;=DB$6),A70&lt;DA$5),0,AND(A70=DA$5,YEAR(C70)&gt;=Lookups!D$89),VLOOKUP(A70,Lookups!B$94:F$102,3),AND(A70=DA$5,YEAR(C70)&lt;Lookups!D$89),VLOOKUP(A70,Lookups!B$94:F$102,2),AND(A70&gt;DA$5,YEAR(C70)=Lookups!D$89),(AY69*Lookups!D$90)*(1+Lookups!C$20),AND(A70&gt;DA$5,YEAR(C70)&lt;&gt;Lookups!D$89),AY69*(1+Lookups!C$20))</f>
        <v>0</v>
      </c>
      <c r="AZ70" s="1" cm="1">
        <f t="array" ref="AZ70">_xlfn.IFS(OR(ISBLANK(Setup!K$91),Setup!K$91=0,AND(A70&gt;=DA$6,B70&gt;=DB$6),B70&lt;DB$5),0,AND(B70=DB$5,YEAR(C70)&gt;=Lookups!D$89),VLOOKUP(B70,Lookups!B$94:F$102,5),AND(B70=DB$5,YEAR(C70)&lt;Lookups!D$89),VLOOKUP(B70,Lookups!B$94:F$102,4),AND(B70&gt;DB$5,YEAR(C70)=Lookups!D$89),(AZ69*Lookups!D$90)*(1+Lookups!C$20),AND(B70&gt;DB$5,YEAR(C70)&lt;&gt;Lookups!D$89),AZ69*(1+Lookups!C$20))</f>
        <v>0</v>
      </c>
      <c r="BA70" s="65">
        <f>IF(OR(AY70&gt;0,AZ70&gt;0),(AY70+AZ70)*Lookups!D$120,0)</f>
        <v>0</v>
      </c>
      <c r="BB70" s="1" cm="1">
        <f t="array" ref="BB70">_xlfn.IFS(AND(A70&lt;DA$4,B70&lt;DB$4),0,OR(_xlfn.XOR(A70&gt;DA$6,B70&gt;DB$6),_xlfn.XOR(A70&gt;=DA$4,B70&gt;=DB$4)),IF(AP70-SUM(AW70,AY70:AZ70)&gt;0,AP70-SUM(AW70,AY70:AZ70),0),AQ70-SUM(AW70,AY70:AZ70)&gt;0, AQ70-SUM(AW70,AY70:AZ70),AQ70-SUM(AW70,AY70:AZ70)&lt;=0,0)</f>
        <v>0</v>
      </c>
      <c r="BD70" s="1" cm="1">
        <f t="array" ref="BD70">_xlfn.IFS(AND(A70&gt;=DA$6,B70&gt;=DB$6),0,AND(A70&gt;=DA$6,B70&gt;=Lookups!C$35),D70/VLOOKUP(B70,Lookups!C$37:D$67,2),A70&lt;Lookups!$C$35,0,A70&gt;=Lookups!C$35,D70/VLOOKUP(A70,Lookups!C$37:D$67,2))</f>
        <v>0</v>
      </c>
      <c r="BE70" s="1" cm="1">
        <f t="array" ref="BE70">_xlfn.IFS(AND(A70&gt;=DA$6,B70&gt;=DB$6),0,AND(B70&gt;=DB$6,A70&gt;=Lookups!C$35),F70/VLOOKUP(A70,Lookups!C$37:D$67,2),B70&lt;Lookups!$C$35,0,B70&gt;=Lookups!C$35,F70/VLOOKUP(B70,Lookups!C$37:D$67,2))</f>
        <v>0</v>
      </c>
      <c r="BF70" s="1" cm="1">
        <f t="array" ref="BF70">_xlfn.IFS($BB70&lt;=0,0,AND(A70&gt;=DA$4,B70&gt;=DB$4,$BB70*I70&lt;(BD70+BE70)),0,AND(A70&gt;=DA$4,B70&gt;=DB$4,H70&gt;=(BB70*I70)-BD70-BE70),(BB70*I70)-BD70-BE70,AND(A70&gt;=DA$4,B70&gt;=DB$4,H70&lt;(BB70*I70)-BD70-BE70),H70,AND(A70&gt;=DA$4,$BB70*I70&lt;(BD70)),0,AND(A70&gt;=DA$4,H70&gt;=(BB70*I70)-BD70),(BB70*I70)-BD70,AND(A70&gt;=DA$4,H70&lt;(BB70*I70)-BD70),H70,AND(B70&gt;=DB$4,$BB70*I70&lt;(BE70)),0,AND(B70&gt;=DB$4,H70&gt;=(BB70*I70)-BE70),(BB70*I70)-BE70,AND(B70&gt;=DB$4,H70&lt;(BB70*I70)-BE70),H70)</f>
        <v>0</v>
      </c>
      <c r="BG70" s="1">
        <f t="shared" si="66"/>
        <v>0</v>
      </c>
      <c r="BH70" s="1" cm="1">
        <f t="array" ref="BH70">_xlfn.IFS(OR(D70=0,A70&lt;DA$4),0,AND(A70&gt;=DA$4,B70&gt;=DB$4,D70&lt;BD70+($BF70*(D70/$H70))+(-$BP70*(D70/$H70))),D70,AND(A70&gt;=DA$4,B70&gt;=DB$4,$BB70&gt;$BG70),BD70+($BF70*(D70/$H70))+(-$BP70*(D70/$H70)),AND(A70&gt;=DA$4,B70&gt;=DB$4,OR(A70&gt;DA$6, B70&gt;DB$6),$AP70-SUM($AW70,$AY70:$AZ70)&lt;0),BD70+($BF70*(D70/$H70))+(-$BP70*(D70/$H70))+(BP70*(D70/$H70)),AND(A70&gt;=DA$4,B70&gt;=DB$4,$AQ70-SUM($AW70,$AY70:$AZ70)&lt;0),BD70+($BF70*(D70/$H70))+(-$BP70*(D70/$H70))+(BP70*(D70/$H70)),AND(A70&gt;=DA$4,D70&lt;BD70+$BF70-$BP70),D70,AND(A70&gt;=DA$4,$AP70-SUM($AW70,$AY70:$AZ70)&lt;0),BD70+($BF70*(D70/$H70))+(-$BP70*(D70/$H70))+(BP70*(D70/$H70)),A70&gt;=DA$4,BD70+$BF70-$BP70)</f>
        <v>0</v>
      </c>
      <c r="BI70" s="1" cm="1">
        <f t="array" ref="BI70">_xlfn.IFS(OR(F70=0,B70&lt;DB$4),0,AND(A70&gt;=DA$4,B70&gt;=DB$4,F70&lt;BE70+($BF70*(F70/$H70))+(-$BP70*(F70/$H70))),F70,AND(A70&gt;=DA$4,B70&gt;=DB$4,$BB70&gt;$BG70),BE70+($BF70*(F70/$H70))+(-$BP70*(F70/$H70)),AND(A70&gt;=DA$4,B70&gt;=DB$4,OR(A70&gt;DA$6, B70&gt;DB$6),$AP70-SUM($AW70,$AY70:$AZ70)&lt;0),BE70+($BF70*(F70/$H70))+(-$BP70*(F70/$H70))+(BP70*(F70/$H70)),AND(A70&gt;=DA$4,B70&gt;=DB$4,$AQ70-SUM($AW70,$AY70:$AZ70)&lt;0),BE70+($BF70*(F70/$H70))+(-$BP70*(F70/$H70))+(BP70*(F70/$H70)),AND(B70&gt;=DB$4,F70&lt;BE70+$BF70-$BP70),F70,AND(B70&gt;=DB$4,$AP70-SUM($AW70,$AY70:$AZ70)&lt;0),BE70+($BF70*(F70/$H70))+(-$BP70*(F70/$H70))+(BP70*(F70/$H70)),B70&gt;=DB$4,BE70+$BF70-$BP70)</f>
        <v>0</v>
      </c>
      <c r="BJ70" s="64" cm="1">
        <f t="array" ref="BJ70">IF(AW70+BA70+BG70&gt;0, AW70+BA70+BG70-_xlfn.IFS(AND(A70&gt;=65,B70&gt;=65),VLOOKUP(Setup!I$4,Lookups!C$133:F$136,4),OR(A70&gt;=65,B70&gt;=65),VLOOKUP(Setup!I$4,Lookups!C$133:E$136,3),AND(A70&lt;65,B70&lt;65),VLOOKUP(Setup!I$4,Lookups!C$133:D$136,2)),0)</f>
        <v>0</v>
      </c>
      <c r="BK70" s="1" cm="1">
        <f t="array" ref="BK70">IF(BJ70&gt;0,_xlfn.IFS(Setup!I$4=Lookups!D$109,-_xlfn.IFS($BJ70&gt;=Lookups!D$157, Lookups!F$157+($BJ70-Lookups!D$157)*Lookups!G$157,$BJ70&gt;=Lookups!D$156, Lookups!F$156+($BJ70-Lookups!D$156)*Lookups!G$156,$BJ70&gt;=Lookups!D$155, Lookups!F$155+($BJ70-Lookups!D$155)*Lookups!G$155,$BJ70&gt;=Lookups!D$154, Lookups!F$154+($BJ70-Lookups!D$154)*Lookups!G$154,$BJ70&gt;=Lookups!D$153, Lookups!F$153+($BJ70-Lookups!D$153)*Lookups!G$153,$BJ70&gt;=Lookups!D$152, Lookups!F$152+($BJ70-Lookups!D$152)*Lookups!G$152,$BJ70&lt;Lookups!D$152,$BJ70*Lookups!G$151),Setup!I$4=Lookups!D$110,-_xlfn.IFS($BJ70&gt;=Lookups!D$167, Lookups!F$167+($BJ70-Lookups!D$167)*Lookups!G$167,$BJ70&gt;=Lookups!D$166, Lookups!F$166+($BJ70-Lookups!D$166)*Lookups!G$166,$BJ70&gt;=Lookups!D$165, Lookups!F$165+($BJ70-Lookups!D$165)*Lookups!G$165,$BJ70&gt;=Lookups!D$164, Lookups!F$164+($BJ70-Lookups!D$164)*Lookups!G$164,$BJ70&gt;=Lookups!D$163, Lookups!F$163+($BJ70-Lookups!D$163)*Lookups!G$163,$BJ70&gt;=Lookups!D$162, Lookups!F$162+($BJ70-Lookups!D$162)*Lookups!G$162,$BJ70&lt;Lookups!D$162,$BJ70*Lookups!G$161),Setup!I$4=Lookups!D$111,-_xlfn.IFS($BJ70&gt;=Lookups!D$177, Lookups!F$177+($BJ70-Lookups!D$177)*Lookups!G$177,$BJ70&gt;=Lookups!D$176, Lookups!F$176+($BJ70-Lookups!D$176)*Lookups!G$176,$BJ70&gt;=Lookups!D$175, Lookups!F$175+($BJ70-Lookups!D$175)*Lookups!G$175,$BJ70&gt;=Lookups!D$174, Lookups!F$174+($BJ70-Lookups!D$174)*Lookups!G$174,$BJ70&gt;=Lookups!D$173, Lookups!F$173+($BJ70-Lookups!D$173)*Lookups!G$173,$BJ70&gt;=Lookups!D$172, Lookups!F$172+($BJ70-Lookups!D$172)*Lookups!G$172,$BJ70&lt;Lookups!D$172,$BJ70*Lookups!G$171), Setup!I$4=Lookups!D$112,-_xlfn.IFS($BJ70&gt;=Lookups!D$187, Lookups!F$187+($BJ70-Lookups!D$187)*Lookups!G$187,$BJ70&gt;=Lookups!D$186, Lookups!F$186+($BJ70-Lookups!D$186)*Lookups!G$186,$BJ70&gt;=Lookups!D$185, Lookups!F$185+($BJ70-Lookups!D$185)*Lookups!G$185,$BJ70&gt;=Lookups!D$184, Lookups!F$184+($BJ70-Lookups!D$184)*Lookups!G$184,$BJ70&gt;=Lookups!D$183, Lookups!F$183+($BJ70-Lookups!D$183)*Lookups!G$183,$BJ70&gt;=Lookups!D$182, Lookups!F$182+($BJ70-Lookups!D$182)*Lookups!G$182,$BJ70&lt;Lookups!D$182,$BJ70*Lookups!G$181)),0)</f>
        <v>0</v>
      </c>
      <c r="BL70" s="18">
        <f t="shared" si="42"/>
        <v>0</v>
      </c>
      <c r="BM70" s="134">
        <f t="shared" si="67"/>
        <v>0</v>
      </c>
      <c r="BN70" s="134" cm="1">
        <f t="array" aca="1" ref="BN70" ca="1">INDIRECT(Setup!I$6&amp;"!"&amp;"A"&amp;ROW())</f>
        <v>0</v>
      </c>
      <c r="BO70" s="134">
        <f t="shared" si="25"/>
        <v>0</v>
      </c>
      <c r="BP70" s="1">
        <f t="shared" si="43"/>
        <v>0</v>
      </c>
      <c r="BQ70" s="1">
        <f t="shared" si="26"/>
        <v>0</v>
      </c>
      <c r="BS70" s="1">
        <f t="shared" si="50"/>
        <v>0</v>
      </c>
      <c r="BT70" s="1" cm="1">
        <f t="array" ref="BT70">-IF(BS70&gt;0,_xlfn.IFS((AW70+BA70+BG70+BS70)&gt;=VLOOKUP(Setup!I$4,Lookups!C$210:E$213,3),BS70*Lookups!D$203,(AW70+BA70+BG70+BS70)&gt;=VLOOKUP(Setup!I$4,Lookups!C$210:E$213,2),BS70*Lookups!D$197,(AW70+BA70+BG70+BS70)&lt;VLOOKUP(Setup!I$4,Lookups!C$210:E$213,2),0),0)</f>
        <v>0</v>
      </c>
      <c r="BU70" s="18">
        <f t="shared" si="51"/>
        <v>0</v>
      </c>
      <c r="BV70" s="1">
        <f t="shared" si="52"/>
        <v>0</v>
      </c>
      <c r="BW70" s="1" cm="1">
        <f t="array" aca="1" ref="BW70" ca="1">INDIRECT(Setup!I$6&amp;"!"&amp;"A"&amp;ROW()+100)</f>
        <v>0</v>
      </c>
      <c r="BX70" s="1">
        <f t="shared" ca="1" si="44"/>
        <v>0</v>
      </c>
      <c r="BY70" s="1">
        <f t="shared" ca="1" si="45"/>
        <v>0</v>
      </c>
      <c r="CA70" s="1">
        <f t="shared" si="59"/>
        <v>0</v>
      </c>
      <c r="CC70" s="1" cm="1">
        <f t="array" ref="CC70">_xlfn.IFS(AND(A70&lt;$DA$4,B70&lt;$DB$4),0,AND(AND(A70&gt;=$DA$4,B70&gt;=$DB$4),AND(A70&lt;=$DA$6,B70&lt;=$DB$6),AND(BH70=0,BI70=0)),SUM(AW70,AY70:AZ70,BD70:BF70,BP70,BS70,CA70)-AQ70,AND(AND(A70&gt;=$DA$4,B70&gt;=$DB$4),AND(A70&lt;=$DA$6,B70&lt;=$DB$6)),SUM(AW70,AY70:AZ70,BD70:BF70,BS70,CA70)-AQ70,AND(OR(A70&gt;=$DA$4,B70&gt;=$DB$4),AND(BH70=0,BI70=0)),SUM(AW70,AY70:AZ70,BD70:BF70,BP70,BS70,CA70)-AP70,OR(A70&gt;=$DA$4,B70&gt;=$DB$4),SUM(AW70,AY70:AZ70,BD70:BF70,BS70,CA70)-AP70)</f>
        <v>0</v>
      </c>
      <c r="CD70" s="142" t="str">
        <f t="shared" si="30"/>
        <v/>
      </c>
    </row>
    <row r="71" spans="1:82" x14ac:dyDescent="0.3">
      <c r="A71" s="354">
        <f t="shared" si="68"/>
        <v>64</v>
      </c>
      <c r="B71" s="354">
        <f t="shared" si="69"/>
        <v>64</v>
      </c>
      <c r="C71" s="359">
        <f t="shared" si="33"/>
        <v>23377</v>
      </c>
      <c r="D71" s="326" cm="1">
        <f t="array" ref="D71">_xlfn.IFS(AND(A71&gt;DA$6,B71&gt;DB$6),0,AND(A71&gt;DA$3,A71&lt;=DA$4),D70*(1+DH$1),OR(A71&gt;DA$6,A71&gt;DA$4),(D70-BH70)*(1+DH$2),A71&lt;=DA$4,(D70*(1+DH$1))+(D$4))</f>
        <v>0</v>
      </c>
      <c r="E71" s="375"/>
      <c r="F71" s="326" cm="1">
        <f t="array" ref="F71">_xlfn.IFS(AND(A71&gt;DA$6,B71&gt;DB$6),0,AND(B71&gt;DB$3,B71&lt;=DB$4),F70*(1+DH$1),OR(B71&gt;DB$6,B71&gt;DB$4),(F70-BI70)*(1+DH$2),B71&lt;=DB$4,(F70*(1+DH$1))+(F$4))</f>
        <v>0</v>
      </c>
      <c r="G71" s="375"/>
      <c r="H71" s="1">
        <f t="shared" si="65"/>
        <v>0</v>
      </c>
      <c r="I71" s="2">
        <f t="shared" ref="I71:I92" si="70">IF(AK71=0,0,H71/AK71)</f>
        <v>0</v>
      </c>
      <c r="J71" s="14">
        <f t="shared" si="64"/>
        <v>0</v>
      </c>
      <c r="L71" s="402" cm="1">
        <f t="array" ref="L71">_xlfn.IFS(AND(A71&gt;DA$6,B71&gt;DB$6),0,A71&lt;DA$6,0,A71=DA$6,L$4,AND(A71&gt;DA$6,B71&lt;=DB$4),L70*(1+DH$1),AND(A71&gt;DA$6,B71&gt;DB$4),IF(Y70=0,0,(L70-((L70/Y70)*BY70))*(1+DH$2)))</f>
        <v>0</v>
      </c>
      <c r="M71" s="402" cm="1">
        <f t="array" ref="M71">_xlfn.IFS(AND(A71&gt;DA$6,B71&gt;DB$6),0,B71&lt;DB$6,0,B71=DB$6,M$4,AND(B71&gt;DB$6,A71&lt;=DA$4),M70*(1+DH$1),AND(A71&gt;DA$4,B71&gt;DB$6),IF(Y70=0,0,(M70-((M70/Y70)*BY70))*(1+DH$2)))</f>
        <v>0</v>
      </c>
      <c r="N71" s="327"/>
      <c r="O71" s="327" cm="1">
        <f t="array" ref="O71">_xlfn.IFS(OR(ISBLANK(Setup!C$63),Setup!C$63&gt;YEAR(C71),AND(A71&gt;DA$6,B71&gt;DB$6),ISBLANK(Y70)),0,Setup!C$63=YEAR(C71),Setup!C$62,AND(OR(A71&lt;=DA$4,B71&lt;=DB$4),Setup!C$63&lt;YEAR(C71)),O70*(1+DH$1),AND(A71&gt;DA$4,B71&gt;DB$4,Setup!C$63&lt;YEAR(C71)),IF(Y70=0,0,(O70-((O70/Y70)*BY70))*(1+DH$2)))</f>
        <v>0</v>
      </c>
      <c r="P71" s="327" cm="1">
        <f t="array" ref="P71">_xlfn.IFS(OR(ISBLANK(Setup!C$67),Setup!C$67&gt;YEAR(C71),AND(A71&gt;DA$6,B71&gt;DB$6)),0,Setup!C$67=YEAR(C71),Setup!C$66,AND(OR(A71&lt;=DA$4,B71&lt;=DB$4),Setup!C$67&lt;YEAR(C71)),P70*(1+DH$1),AND(A71&gt;DA$4,B71&gt;DB$4,Setup!C$67&lt;YEAR(C71)),IF(Y70=0,0,(P70-((P70/Y70)*BY70))*(1+DH$2)))</f>
        <v>0</v>
      </c>
      <c r="Q71" s="327" cm="1">
        <f t="array" ref="Q71">_xlfn.IFS(OR(ISBLANK(Setup!C$71),Setup!C$71&gt;YEAR(C71),AND(A71&gt;DA$6,B71&gt;DB$6)),0,Setup!C$71=YEAR(C71),Setup!C$70,AND(OR(A71&lt;=DA$4,B71&lt;=DB$4),Setup!C$71&lt;YEAR(C71)),Q70*(1+DH$1),AND(A71&gt;DA$4,B71&gt;DB$4,Setup!C$71&lt;YEAR(C71)),IF(Y70=0,0,(Q70-((Q70/Y70)*BY70))*(1+DH$2)))</f>
        <v>0</v>
      </c>
      <c r="R71" s="327" cm="1">
        <f t="array" ref="R71">_xlfn.IFS(OR(ISBLANK(Setup!C$75),Setup!C$75&gt;YEAR(C71),AND(A71&gt;DA$6,B71&gt;DB$6)),0,Setup!C$75=YEAR(C71),Setup!C$74,AND(OR(A71&lt;=DA$4,B71&lt;=DB$4),Setup!C$75&lt;YEAR(C71)),R70*(1+DH$1),AND(A71&gt;DA$4,B71&gt;DB$4,Setup!C$75&lt;YEAR(C71)),IF(Y70=0,0,(R70-((R70/Y70)*BY70))*(1+DH$2)))</f>
        <v>0</v>
      </c>
      <c r="S71" s="327"/>
      <c r="T71" s="326" cm="1">
        <f t="array" ref="T71">_xlfn.IFS(AND($A71&gt;$DA$6,$B71&gt;$DB$6),0,AND($W$2=$DA$2,$A71&gt;$DA$4),IF($Y70=0,0,(T70-((T70/$Y70)*$BY70))*(1+$DH$2)),AND($W$2=$DB$2,$B71&gt;$DB$4),IF($Y70=0,0,(T70-((T70/$Y70)*$BY70))*(1+$DH$2)),AND($W$2=$DA$2,OR($A71&gt;$DA$3,$A71&gt;$DA$6)),(T70*(1+$DH$1)),AND($W$2=$DB$2,OR($B71&gt;$DB$3,$B71&gt;$DB$6)),(T70*(1+$DH$1)),AND($W$2=$DA$2,$A71&lt;=$DA$3,$A71&lt;=$DA$4,$A71&lt;=$DA$5),(T70*(1+$DH$1))+(T$4),AND($W$2=$DB$2,$B71&lt;=$DB$3,$B71&lt;=$DB$4,$B71&lt;=$DB$5),(T70*(1+$DH$1))+(T$4))</f>
        <v>0</v>
      </c>
      <c r="U71" s="326" cm="1">
        <f t="array" ref="U71">_xlfn.IFS(AND($A71&gt;$DA$6,$B71&gt;$DB$6),0,AND($W$2=$DA$2,$A71&gt;$DA$4),IF($Y70=0,0,(U70-((U70/$Y70)*$BY70))*(1+$DH$2)),AND($W$2=$DB$2,$B71&gt;$DB$4),IF($Y70=0,0,(U70-((U70/$Y70)*$BY70))*(1+$DH$2)),AND($W$2=$DA$2,OR($A71&gt;$DA$3,$A71&gt;$DA$6)),(U70*(1+$DH$1)),AND($W$2=$DB$2,OR($B71&gt;$DB$3,$B71&gt;$DB$6)),(U70*(1+$DH$1)),AND($W$2=$DA$2,$A71&lt;=$DA$3,$A71&lt;=$DA$4,$A71&lt;=$DA$5),(U70*(1+$DH$1))+(U$4),AND($W$2=$DB$2,$B71&lt;=$DB$3,$B71&lt;=$DB$4,$B71&lt;=$DB$5),(U70*(1+$DH$1))+(U$4))</f>
        <v>0</v>
      </c>
      <c r="V71" s="326" cm="1">
        <f t="array" ref="V71">_xlfn.IFS(AND($A71&gt;$DA$6,$B71&gt;$DB$6),0,AND($W$2=$DA$2,$A71&gt;$DA$4),IF($Y70=0,0,(V70-((V70/$Y70)*$BY70))*(1+$DH$2)),AND($W$2=$DB$2,$B71&gt;$DB$4),IF($Y70=0,0,(V70-((V70/$Y70)*$BY70))*(1+$DH$2)),AND($W$2=$DA$2,OR($A71&gt;$DA$3,$A71&gt;$DA$6)),(V70*(1+$DH$1)),AND($W$2=$DB$2,OR($B71&gt;$DB$3,$B71&gt;$DB$6)),(V70*(1+$DH$1)),AND($W$2=$DA$2,$A71&lt;=$DA$3,$A71&lt;=$DA$4,$A71&lt;=$DA$5),(V70*(1+$DH$1))+(V$4),AND($W$2=$DB$2,$B71&lt;=$DB$3,$B71&lt;=$DB$4,$B71&lt;=$DB$5),(V70*(1+$DH$1))+(V$4))</f>
        <v>0</v>
      </c>
      <c r="W71" s="326" cm="1">
        <f t="array" ref="W71">_xlfn.IFS(AND($A71&gt;$DA$6,$B71&gt;$DB$6),0,AND($W$2=$DA$2,$A71&gt;$DA$4),IF($Y70=0,0,(W70-((W70/$Y70)*$BY70))*(1+$DH$2)),AND($W$2=$DB$2,$B71&gt;$DB$4),IF($Y70=0,0,(W70-((W70/$Y70)*$BY70))*(1+$DH$2)),AND($W$2=$DA$2,OR($A71&gt;$DA$3,$A71&gt;$DA$6)),(W70*(1+$DH$1)),AND($W$2=$DB$2,OR($B71&gt;$DB$3,$B71&gt;$DB$6)),(W70*(1+$DH$1)),AND($W$2=$DA$2,$A71&lt;=$DA$3,$A71&lt;=$DA$4,$A71&lt;=$DA$5),(W70*(1+$DH$1))+(W$4),AND($W$2=$DB$2,$B71&lt;=$DB$3,$B71&lt;=$DB$4,$B71&lt;=$DB$5),(W70*(1+$DH$1))+(W$4))</f>
        <v>0</v>
      </c>
      <c r="Y71" s="1">
        <f t="shared" si="47"/>
        <v>0</v>
      </c>
      <c r="Z71" s="2">
        <f t="shared" ref="Z71:Z92" si="71">IF($AK71=0,0,Y71/$AK71)</f>
        <v>0</v>
      </c>
      <c r="AA71" s="375"/>
      <c r="AC71" s="326" cm="1">
        <f t="array" ref="AC71">_xlfn.IFS(AND(A71&gt;DA$6,B71&gt;DB$6),0,AND(A71&gt;DA$4,B71&gt;DB$4),IF(AG70=0,0,(AC70-((AC70/AG70)*CA70))*(1+DH$2)),OR(A71&gt;DA$3,A71&gt;DA$6),AC70*(1+DH$1),A71&gt;DA$4,(AC70-CA70)*(1+DH$2),AND(A71&lt;=DA$3,A71&lt;=DA$4,A71&lt;=DA$6),(AC70*(1+DH$1))+(AC$4))</f>
        <v>0</v>
      </c>
      <c r="AD71" s="375"/>
      <c r="AE71" s="326" cm="1">
        <f t="array" ref="AE71">_xlfn.IFS(AND(A71&gt;DA$6,B71&gt;DB$6),0,AND(A71&gt;DA$4,B71&gt;DB$4),IF(AG70=0,0,(AE70-((AE70/AG70)*CA70))*(1+DH$2)),OR(B71&gt;DB$3,B71&gt;DB$6),AE70*(1+DH$1),B71&gt;DB$4,(AE70-CA70)*(1+DH$2),AND(B71&lt;=DB$3,B71&lt;=DB$4,B71&lt;=DB$6),(AE70*(1+DH$1))+(AE$4))</f>
        <v>0</v>
      </c>
      <c r="AF71" s="375"/>
      <c r="AG71" s="1">
        <f t="shared" si="61"/>
        <v>0</v>
      </c>
      <c r="AH71" s="2">
        <f t="shared" si="48"/>
        <v>0</v>
      </c>
      <c r="AI71" s="14">
        <f t="shared" ref="AI71:AI92" si="72">SUM(AD71,AF71)</f>
        <v>0</v>
      </c>
      <c r="AK71" s="1">
        <f t="shared" si="49"/>
        <v>0</v>
      </c>
      <c r="AL71" s="14">
        <f t="shared" ref="AL71:AL92" si="73">AI71+J71+AA71</f>
        <v>0</v>
      </c>
      <c r="AM71" s="14" t="str">
        <f t="shared" si="23"/>
        <v/>
      </c>
      <c r="AO71" s="15">
        <f t="shared" ref="AO71:AO92" si="74">IF(AK71=0,0,(BH71+BI71+BY71+CA71)/AK71)</f>
        <v>0</v>
      </c>
      <c r="AP71" s="1">
        <f>IF(AND(B71&gt;=$DB$6,A71&gt;=$DA$6),0,AP70*(1+Lookups!C$12))</f>
        <v>0</v>
      </c>
      <c r="AQ71" s="1">
        <f>IF(AND(B71&gt;=$DB$6,A71&gt;=$DA$6),0,AQ70*(1+Lookups!C$12))</f>
        <v>0</v>
      </c>
      <c r="AS71" s="1" cm="1">
        <f t="array" ref="AS71">_xlfn.IFS(OR(AS$6="",AND(A71&gt;=DA$6,B71&gt;=DB$6),AND(A71&lt;DA$4,B71&lt;DB$4)),0,AND(A71=DA$4,DA$4&lt;=DB$4),AS$6,AND(B71=DB$4,DA$4&gt;=DB$4),AS$6,OR(A71&gt;DA$4,B71&gt;DB$4),AS70*(1+Setup!C$103))</f>
        <v>0</v>
      </c>
      <c r="AT71" s="1" cm="1">
        <f t="array" ref="AT71">_xlfn.IFS(OR(AT$6="",AND(A71&gt;=DA$6,B71&gt;=DB$6),AND(A71&lt;DA$4,B71&lt;DB$4)),0,AND(A71=DA$4,DA$4&lt;=DB$4),AT$6,AND(B71=DB$4,DA$4&gt;=DB$4),AT$6,OR(A71&gt;DA$4,B71&gt;DB$4),AT70*(1+Setup!C$103))</f>
        <v>0</v>
      </c>
      <c r="AU71" s="1" cm="1">
        <f t="array" ref="AU71">_xlfn.IFS(OR(AU$6="",AND(A71&gt;=DA$6,B71&gt;=DB$6),AND(A71&lt;DA$4,B71&lt;DB$4)),0,AND(A71=DA$4,DA$4&lt;=DB$4),AU$6,AND(B71=DB$4,DA$4&gt;=DB$4),AU$6,OR(A71&gt;DA$4,B71&gt;DB$4),AU70*(1+Setup!C$103))</f>
        <v>0</v>
      </c>
      <c r="AV71" s="1" cm="1">
        <f t="array" ref="AV71">_xlfn.IFS(OR(AV$6="",AND(A71&gt;=DA$6,B71&gt;=DB$6),AND(A71&lt;DA$4,B71&lt;DB$4)),0,AND(A71=DA$4,DA$4&lt;=DB$4),AV$6,AND(B71=DB$4,DA$4&gt;=DB$4),AV$6,OR(A71&gt;DA$4,B71&gt;DB$4),AV70*(1+Setup!C$103))</f>
        <v>0</v>
      </c>
      <c r="AW71" s="1">
        <f t="shared" ref="AW71:AW92" si="75">SUM(AS71:AV71)</f>
        <v>0</v>
      </c>
      <c r="AY71" s="1" cm="1">
        <f t="array" ref="AY71">_xlfn.IFS(OR(AND(A71&gt;=DA$6,B71&gt;=DB$6),A71&lt;DA$5),0,AND(A71=DA$5,YEAR(C71)&gt;=Lookups!D$89),VLOOKUP(A71,Lookups!B$94:F$102,3),AND(A71=DA$5,YEAR(C71)&lt;Lookups!D$89),VLOOKUP(A71,Lookups!B$94:F$102,2),AND(A71&gt;DA$5,YEAR(C71)=Lookups!D$89),(AY70*Lookups!D$90)*(1+Lookups!C$20),AND(A71&gt;DA$5,YEAR(C71)&lt;&gt;Lookups!D$89),AY70*(1+Lookups!C$20))</f>
        <v>0</v>
      </c>
      <c r="AZ71" s="1" cm="1">
        <f t="array" ref="AZ71">_xlfn.IFS(OR(ISBLANK(Setup!K$91),Setup!K$91=0,AND(A71&gt;=DA$6,B71&gt;=DB$6),B71&lt;DB$5),0,AND(B71=DB$5,YEAR(C71)&gt;=Lookups!D$89),VLOOKUP(B71,Lookups!B$94:F$102,5),AND(B71=DB$5,YEAR(C71)&lt;Lookups!D$89),VLOOKUP(B71,Lookups!B$94:F$102,4),AND(B71&gt;DB$5,YEAR(C71)=Lookups!D$89),(AZ70*Lookups!D$90)*(1+Lookups!C$20),AND(B71&gt;DB$5,YEAR(C71)&lt;&gt;Lookups!D$89),AZ70*(1+Lookups!C$20))</f>
        <v>0</v>
      </c>
      <c r="BA71" s="65">
        <f>IF(OR(AY71&gt;0,AZ71&gt;0),(AY71+AZ71)*Lookups!D$120,0)</f>
        <v>0</v>
      </c>
      <c r="BB71" s="1" cm="1">
        <f t="array" ref="BB71">_xlfn.IFS(AND(A71&lt;DA$4,B71&lt;DB$4),0,OR(_xlfn.XOR(A71&gt;DA$6,B71&gt;DB$6),_xlfn.XOR(A71&gt;=DA$4,B71&gt;=DB$4)),IF(AP71-SUM(AW71,AY71:AZ71)&gt;0,AP71-SUM(AW71,AY71:AZ71),0),AQ71-SUM(AW71,AY71:AZ71)&gt;0, AQ71-SUM(AW71,AY71:AZ71),AQ71-SUM(AW71,AY71:AZ71)&lt;=0,0)</f>
        <v>0</v>
      </c>
      <c r="BD71" s="1" cm="1">
        <f t="array" ref="BD71">_xlfn.IFS(AND(A71&gt;=DA$6,B71&gt;=DB$6),0,AND(A71&gt;=DA$6,B71&gt;=Lookups!C$35),D71/VLOOKUP(B71,Lookups!C$37:D$67,2),A71&lt;Lookups!$C$35,0,A71&gt;=Lookups!C$35,D71/VLOOKUP(A71,Lookups!C$37:D$67,2))</f>
        <v>0</v>
      </c>
      <c r="BE71" s="1" cm="1">
        <f t="array" ref="BE71">_xlfn.IFS(AND(A71&gt;=DA$6,B71&gt;=DB$6),0,AND(B71&gt;=DB$6,A71&gt;=Lookups!C$35),F71/VLOOKUP(A71,Lookups!C$37:D$67,2),B71&lt;Lookups!$C$35,0,B71&gt;=Lookups!C$35,F71/VLOOKUP(B71,Lookups!C$37:D$67,2))</f>
        <v>0</v>
      </c>
      <c r="BF71" s="1" cm="1">
        <f t="array" ref="BF71">_xlfn.IFS($BB71&lt;=0,0,AND(A71&gt;=DA$4,B71&gt;=DB$4,$BB71*I71&lt;(BD71+BE71)),0,AND(A71&gt;=DA$4,B71&gt;=DB$4,H71&gt;=(BB71*I71)-BD71-BE71),(BB71*I71)-BD71-BE71,AND(A71&gt;=DA$4,B71&gt;=DB$4,H71&lt;(BB71*I71)-BD71-BE71),H71,AND(A71&gt;=DA$4,$BB71*I71&lt;(BD71)),0,AND(A71&gt;=DA$4,H71&gt;=(BB71*I71)-BD71),(BB71*I71)-BD71,AND(A71&gt;=DA$4,H71&lt;(BB71*I71)-BD71),H71,AND(B71&gt;=DB$4,$BB71*I71&lt;(BE71)),0,AND(B71&gt;=DB$4,H71&gt;=(BB71*I71)-BE71),(BB71*I71)-BE71,AND(B71&gt;=DB$4,H71&lt;(BB71*I71)-BE71),H71)</f>
        <v>0</v>
      </c>
      <c r="BG71" s="1">
        <f t="shared" si="66"/>
        <v>0</v>
      </c>
      <c r="BH71" s="1" cm="1">
        <f t="array" ref="BH71">_xlfn.IFS(OR(D71=0,A71&lt;DA$4),0,AND(A71&gt;=DA$4,B71&gt;=DB$4,D71&lt;BD71+($BF71*(D71/$H71))+(-$BP71*(D71/$H71))),D71,AND(A71&gt;=DA$4,B71&gt;=DB$4,$BB71&gt;$BG71),BD71+($BF71*(D71/$H71))+(-$BP71*(D71/$H71)),AND(A71&gt;=DA$4,B71&gt;=DB$4,OR(A71&gt;DA$6, B71&gt;DB$6),$AP71-SUM($AW71,$AY71:$AZ71)&lt;0),BD71+($BF71*(D71/$H71))+(-$BP71*(D71/$H71))+(BP71*(D71/$H71)),AND(A71&gt;=DA$4,B71&gt;=DB$4,$AQ71-SUM($AW71,$AY71:$AZ71)&lt;0),BD71+($BF71*(D71/$H71))+(-$BP71*(D71/$H71))+(BP71*(D71/$H71)),AND(A71&gt;=DA$4,D71&lt;BD71+$BF71-$BP71),D71,AND(A71&gt;=DA$4,$AP71-SUM($AW71,$AY71:$AZ71)&lt;0),BD71+($BF71*(D71/$H71))+(-$BP71*(D71/$H71))+(BP71*(D71/$H71)),A71&gt;=DA$4,BD71+$BF71-$BP71)</f>
        <v>0</v>
      </c>
      <c r="BI71" s="1" cm="1">
        <f t="array" ref="BI71">_xlfn.IFS(OR(F71=0,B71&lt;DB$4),0,AND(A71&gt;=DA$4,B71&gt;=DB$4,F71&lt;BE71+($BF71*(F71/$H71))+(-$BP71*(F71/$H71))),F71,AND(A71&gt;=DA$4,B71&gt;=DB$4,$BB71&gt;$BG71),BE71+($BF71*(F71/$H71))+(-$BP71*(F71/$H71)),AND(A71&gt;=DA$4,B71&gt;=DB$4,OR(A71&gt;DA$6, B71&gt;DB$6),$AP71-SUM($AW71,$AY71:$AZ71)&lt;0),BE71+($BF71*(F71/$H71))+(-$BP71*(F71/$H71))+(BP71*(F71/$H71)),AND(A71&gt;=DA$4,B71&gt;=DB$4,$AQ71-SUM($AW71,$AY71:$AZ71)&lt;0),BE71+($BF71*(F71/$H71))+(-$BP71*(F71/$H71))+(BP71*(F71/$H71)),AND(B71&gt;=DB$4,F71&lt;BE71+$BF71-$BP71),F71,AND(B71&gt;=DB$4,$AP71-SUM($AW71,$AY71:$AZ71)&lt;0),BE71+($BF71*(F71/$H71))+(-$BP71*(F71/$H71))+(BP71*(F71/$H71)),B71&gt;=DB$4,BE71+$BF71-$BP71)</f>
        <v>0</v>
      </c>
      <c r="BJ71" s="64" cm="1">
        <f t="array" ref="BJ71">IF(AW71+BA71+BG71&gt;0, AW71+BA71+BG71-_xlfn.IFS(AND(A71&gt;=65,B71&gt;=65),VLOOKUP(Setup!I$4,Lookups!C$133:F$136,4),OR(A71&gt;=65,B71&gt;=65),VLOOKUP(Setup!I$4,Lookups!C$133:E$136,3),AND(A71&lt;65,B71&lt;65),VLOOKUP(Setup!I$4,Lookups!C$133:D$136,2)),0)</f>
        <v>0</v>
      </c>
      <c r="BK71" s="1" cm="1">
        <f t="array" ref="BK71">IF(BJ71&gt;0,_xlfn.IFS(Setup!I$4=Lookups!D$109,-_xlfn.IFS($BJ71&gt;=Lookups!D$157, Lookups!F$157+($BJ71-Lookups!D$157)*Lookups!G$157,$BJ71&gt;=Lookups!D$156, Lookups!F$156+($BJ71-Lookups!D$156)*Lookups!G$156,$BJ71&gt;=Lookups!D$155, Lookups!F$155+($BJ71-Lookups!D$155)*Lookups!G$155,$BJ71&gt;=Lookups!D$154, Lookups!F$154+($BJ71-Lookups!D$154)*Lookups!G$154,$BJ71&gt;=Lookups!D$153, Lookups!F$153+($BJ71-Lookups!D$153)*Lookups!G$153,$BJ71&gt;=Lookups!D$152, Lookups!F$152+($BJ71-Lookups!D$152)*Lookups!G$152,$BJ71&lt;Lookups!D$152,$BJ71*Lookups!G$151),Setup!I$4=Lookups!D$110,-_xlfn.IFS($BJ71&gt;=Lookups!D$167, Lookups!F$167+($BJ71-Lookups!D$167)*Lookups!G$167,$BJ71&gt;=Lookups!D$166, Lookups!F$166+($BJ71-Lookups!D$166)*Lookups!G$166,$BJ71&gt;=Lookups!D$165, Lookups!F$165+($BJ71-Lookups!D$165)*Lookups!G$165,$BJ71&gt;=Lookups!D$164, Lookups!F$164+($BJ71-Lookups!D$164)*Lookups!G$164,$BJ71&gt;=Lookups!D$163, Lookups!F$163+($BJ71-Lookups!D$163)*Lookups!G$163,$BJ71&gt;=Lookups!D$162, Lookups!F$162+($BJ71-Lookups!D$162)*Lookups!G$162,$BJ71&lt;Lookups!D$162,$BJ71*Lookups!G$161),Setup!I$4=Lookups!D$111,-_xlfn.IFS($BJ71&gt;=Lookups!D$177, Lookups!F$177+($BJ71-Lookups!D$177)*Lookups!G$177,$BJ71&gt;=Lookups!D$176, Lookups!F$176+($BJ71-Lookups!D$176)*Lookups!G$176,$BJ71&gt;=Lookups!D$175, Lookups!F$175+($BJ71-Lookups!D$175)*Lookups!G$175,$BJ71&gt;=Lookups!D$174, Lookups!F$174+($BJ71-Lookups!D$174)*Lookups!G$174,$BJ71&gt;=Lookups!D$173, Lookups!F$173+($BJ71-Lookups!D$173)*Lookups!G$173,$BJ71&gt;=Lookups!D$172, Lookups!F$172+($BJ71-Lookups!D$172)*Lookups!G$172,$BJ71&lt;Lookups!D$172,$BJ71*Lookups!G$171), Setup!I$4=Lookups!D$112,-_xlfn.IFS($BJ71&gt;=Lookups!D$187, Lookups!F$187+($BJ71-Lookups!D$187)*Lookups!G$187,$BJ71&gt;=Lookups!D$186, Lookups!F$186+($BJ71-Lookups!D$186)*Lookups!G$186,$BJ71&gt;=Lookups!D$185, Lookups!F$185+($BJ71-Lookups!D$185)*Lookups!G$185,$BJ71&gt;=Lookups!D$184, Lookups!F$184+($BJ71-Lookups!D$184)*Lookups!G$184,$BJ71&gt;=Lookups!D$183, Lookups!F$183+($BJ71-Lookups!D$183)*Lookups!G$183,$BJ71&gt;=Lookups!D$182, Lookups!F$182+($BJ71-Lookups!D$182)*Lookups!G$182,$BJ71&lt;Lookups!D$182,$BJ71*Lookups!G$181)),0)</f>
        <v>0</v>
      </c>
      <c r="BL71" s="18">
        <f t="shared" ref="BL71:BL92" si="76">IF(BJ71=0,0,-BK71/BJ71)</f>
        <v>0</v>
      </c>
      <c r="BM71" s="134">
        <f t="shared" si="67"/>
        <v>0</v>
      </c>
      <c r="BN71" s="134" cm="1">
        <f t="array" aca="1" ref="BN71" ca="1">INDIRECT(Setup!I$6&amp;"!"&amp;"A"&amp;ROW())</f>
        <v>0</v>
      </c>
      <c r="BO71" s="134">
        <f t="shared" si="25"/>
        <v>0</v>
      </c>
      <c r="BP71" s="1">
        <f t="shared" ref="BP71:BP92" si="77">IF(BJ71=0,0,BK71+BM71+BN71)</f>
        <v>0</v>
      </c>
      <c r="BQ71" s="1">
        <f t="shared" si="26"/>
        <v>0</v>
      </c>
      <c r="BS71" s="1">
        <f t="shared" si="50"/>
        <v>0</v>
      </c>
      <c r="BT71" s="1" cm="1">
        <f t="array" ref="BT71">-IF(BS71&gt;0,_xlfn.IFS((AW71+BA71+BG71+BS71)&gt;=VLOOKUP(Setup!I$4,Lookups!C$210:E$213,3),BS71*Lookups!D$203,(AW71+BA71+BG71+BS71)&gt;=VLOOKUP(Setup!I$4,Lookups!C$210:E$213,2),BS71*Lookups!D$197,(AW71+BA71+BG71+BS71)&lt;VLOOKUP(Setup!I$4,Lookups!C$210:E$213,2),0),0)</f>
        <v>0</v>
      </c>
      <c r="BU71" s="18">
        <f t="shared" si="51"/>
        <v>0</v>
      </c>
      <c r="BV71" s="1">
        <f t="shared" si="52"/>
        <v>0</v>
      </c>
      <c r="BW71" s="1" cm="1">
        <f t="array" aca="1" ref="BW71" ca="1">INDIRECT(Setup!I$6&amp;"!"&amp;"A"&amp;ROW()+100)</f>
        <v>0</v>
      </c>
      <c r="BX71" s="1">
        <f t="shared" ref="BX71:BX92" ca="1" si="78">BO71+BT71+BV71+BW71</f>
        <v>0</v>
      </c>
      <c r="BY71" s="1">
        <f t="shared" ref="BY71:BY92" ca="1" si="79">IF(Y71&gt;=BS71-BX71,BS71-BX71,Y71)</f>
        <v>0</v>
      </c>
      <c r="CA71" s="1">
        <f t="shared" si="59"/>
        <v>0</v>
      </c>
      <c r="CC71" s="1" cm="1">
        <f t="array" ref="CC71">_xlfn.IFS(AND(A71&lt;$DA$4,B71&lt;$DB$4),0,AND(AND(A71&gt;=$DA$4,B71&gt;=$DB$4),AND(A71&lt;=$DA$6,B71&lt;=$DB$6),AND(BH71=0,BI71=0)),SUM(AW71,AY71:AZ71,BD71:BF71,BP71,BS71,CA71)-AQ71,AND(AND(A71&gt;=$DA$4,B71&gt;=$DB$4),AND(A71&lt;=$DA$6,B71&lt;=$DB$6)),SUM(AW71,AY71:AZ71,BD71:BF71,BS71,CA71)-AQ71,AND(OR(A71&gt;=$DA$4,B71&gt;=$DB$4),AND(BH71=0,BI71=0)),SUM(AW71,AY71:AZ71,BD71:BF71,BP71,BS71,CA71)-AP71,OR(A71&gt;=$DA$4,B71&gt;=$DB$4),SUM(AW71,AY71:AZ71,BD71:BF71,BS71,CA71)-AP71)</f>
        <v>0</v>
      </c>
      <c r="CD71" s="142" t="str">
        <f t="shared" si="30"/>
        <v/>
      </c>
    </row>
    <row r="72" spans="1:82" x14ac:dyDescent="0.3">
      <c r="A72" s="354">
        <f t="shared" si="68"/>
        <v>65</v>
      </c>
      <c r="B72" s="354">
        <f t="shared" si="69"/>
        <v>65</v>
      </c>
      <c r="C72" s="359">
        <f t="shared" si="33"/>
        <v>23743</v>
      </c>
      <c r="D72" s="326" cm="1">
        <f t="array" ref="D72">_xlfn.IFS(AND(A72&gt;DA$6,B72&gt;DB$6),0,AND(A72&gt;DA$3,A72&lt;=DA$4),D71*(1+DH$1),OR(A72&gt;DA$6,A72&gt;DA$4),(D71-BH71)*(1+DH$2),A72&lt;=DA$4,(D71*(1+DH$1))+(D$4))</f>
        <v>0</v>
      </c>
      <c r="E72" s="375"/>
      <c r="F72" s="326" cm="1">
        <f t="array" ref="F72">_xlfn.IFS(AND(A72&gt;DA$6,B72&gt;DB$6),0,AND(B72&gt;DB$3,B72&lt;=DB$4),F71*(1+DH$1),OR(B72&gt;DB$6,B72&gt;DB$4),(F71-BI71)*(1+DH$2),B72&lt;=DB$4,(F71*(1+DH$1))+(F$4))</f>
        <v>0</v>
      </c>
      <c r="G72" s="375"/>
      <c r="H72" s="1">
        <f t="shared" si="65"/>
        <v>0</v>
      </c>
      <c r="I72" s="2">
        <f t="shared" si="70"/>
        <v>0</v>
      </c>
      <c r="J72" s="14">
        <f t="shared" si="64"/>
        <v>0</v>
      </c>
      <c r="L72" s="402" cm="1">
        <f t="array" ref="L72">_xlfn.IFS(AND(A72&gt;DA$6,B72&gt;DB$6),0,A72&lt;DA$6,0,A72=DA$6,L$4,AND(A72&gt;DA$6,B72&lt;=DB$4),L71*(1+DH$1),AND(A72&gt;DA$6,B72&gt;DB$4),IF(Y71=0,0,(L71-((L71/Y71)*BY71))*(1+DH$2)))</f>
        <v>0</v>
      </c>
      <c r="M72" s="402" cm="1">
        <f t="array" ref="M72">_xlfn.IFS(AND(A72&gt;DA$6,B72&gt;DB$6),0,B72&lt;DB$6,0,B72=DB$6,M$4,AND(B72&gt;DB$6,A72&lt;=DA$4),M71*(1+DH$1),AND(A72&gt;DA$4,B72&gt;DB$6),IF(Y71=0,0,(M71-((M71/Y71)*BY71))*(1+DH$2)))</f>
        <v>0</v>
      </c>
      <c r="N72" s="327"/>
      <c r="O72" s="327" cm="1">
        <f t="array" ref="O72">_xlfn.IFS(OR(ISBLANK(Setup!C$63),Setup!C$63&gt;YEAR(C72),AND(A72&gt;DA$6,B72&gt;DB$6),ISBLANK(Y71)),0,Setup!C$63=YEAR(C72),Setup!C$62,AND(OR(A72&lt;=DA$4,B72&lt;=DB$4),Setup!C$63&lt;YEAR(C72)),O71*(1+DH$1),AND(A72&gt;DA$4,B72&gt;DB$4,Setup!C$63&lt;YEAR(C72)),IF(Y71=0,0,(O71-((O71/Y71)*BY71))*(1+DH$2)))</f>
        <v>0</v>
      </c>
      <c r="P72" s="327" cm="1">
        <f t="array" ref="P72">_xlfn.IFS(OR(ISBLANK(Setup!C$67),Setup!C$67&gt;YEAR(C72),AND(A72&gt;DA$6,B72&gt;DB$6)),0,Setup!C$67=YEAR(C72),Setup!C$66,AND(OR(A72&lt;=DA$4,B72&lt;=DB$4),Setup!C$67&lt;YEAR(C72)),P71*(1+DH$1),AND(A72&gt;DA$4,B72&gt;DB$4,Setup!C$67&lt;YEAR(C72)),IF(Y71=0,0,(P71-((P71/Y71)*BY71))*(1+DH$2)))</f>
        <v>0</v>
      </c>
      <c r="Q72" s="327" cm="1">
        <f t="array" ref="Q72">_xlfn.IFS(OR(ISBLANK(Setup!C$71),Setup!C$71&gt;YEAR(C72),AND(A72&gt;DA$6,B72&gt;DB$6)),0,Setup!C$71=YEAR(C72),Setup!C$70,AND(OR(A72&lt;=DA$4,B72&lt;=DB$4),Setup!C$71&lt;YEAR(C72)),Q71*(1+DH$1),AND(A72&gt;DA$4,B72&gt;DB$4,Setup!C$71&lt;YEAR(C72)),IF(Y71=0,0,(Q71-((Q71/Y71)*BY71))*(1+DH$2)))</f>
        <v>0</v>
      </c>
      <c r="R72" s="327" cm="1">
        <f t="array" ref="R72">_xlfn.IFS(OR(ISBLANK(Setup!C$75),Setup!C$75&gt;YEAR(C72),AND(A72&gt;DA$6,B72&gt;DB$6)),0,Setup!C$75=YEAR(C72),Setup!C$74,AND(OR(A72&lt;=DA$4,B72&lt;=DB$4),Setup!C$75&lt;YEAR(C72)),R71*(1+DH$1),AND(A72&gt;DA$4,B72&gt;DB$4,Setup!C$75&lt;YEAR(C72)),IF(Y71=0,0,(R71-((R71/Y71)*BY71))*(1+DH$2)))</f>
        <v>0</v>
      </c>
      <c r="S72" s="327"/>
      <c r="T72" s="326" cm="1">
        <f t="array" ref="T72">_xlfn.IFS(AND($A72&gt;$DA$6,$B72&gt;$DB$6),0,AND($W$2=$DA$2,$A72&gt;$DA$4),IF($Y71=0,0,(T71-((T71/$Y71)*$BY71))*(1+$DH$2)),AND($W$2=$DB$2,$B72&gt;$DB$4),IF($Y71=0,0,(T71-((T71/$Y71)*$BY71))*(1+$DH$2)),AND($W$2=$DA$2,OR($A72&gt;$DA$3,$A72&gt;$DA$6)),(T71*(1+$DH$1)),AND($W$2=$DB$2,OR($B72&gt;$DB$3,$B72&gt;$DB$6)),(T71*(1+$DH$1)),AND($W$2=$DA$2,$A72&lt;=$DA$3,$A72&lt;=$DA$4,$A72&lt;=$DA$5),(T71*(1+$DH$1))+(T$4),AND($W$2=$DB$2,$B72&lt;=$DB$3,$B72&lt;=$DB$4,$B72&lt;=$DB$5),(T71*(1+$DH$1))+(T$4))</f>
        <v>0</v>
      </c>
      <c r="U72" s="326" cm="1">
        <f t="array" ref="U72">_xlfn.IFS(AND($A72&gt;$DA$6,$B72&gt;$DB$6),0,AND($W$2=$DA$2,$A72&gt;$DA$4),IF($Y71=0,0,(U71-((U71/$Y71)*$BY71))*(1+$DH$2)),AND($W$2=$DB$2,$B72&gt;$DB$4),IF($Y71=0,0,(U71-((U71/$Y71)*$BY71))*(1+$DH$2)),AND($W$2=$DA$2,OR($A72&gt;$DA$3,$A72&gt;$DA$6)),(U71*(1+$DH$1)),AND($W$2=$DB$2,OR($B72&gt;$DB$3,$B72&gt;$DB$6)),(U71*(1+$DH$1)),AND($W$2=$DA$2,$A72&lt;=$DA$3,$A72&lt;=$DA$4,$A72&lt;=$DA$5),(U71*(1+$DH$1))+(U$4),AND($W$2=$DB$2,$B72&lt;=$DB$3,$B72&lt;=$DB$4,$B72&lt;=$DB$5),(U71*(1+$DH$1))+(U$4))</f>
        <v>0</v>
      </c>
      <c r="V72" s="326" cm="1">
        <f t="array" ref="V72">_xlfn.IFS(AND($A72&gt;$DA$6,$B72&gt;$DB$6),0,AND($W$2=$DA$2,$A72&gt;$DA$4),IF($Y71=0,0,(V71-((V71/$Y71)*$BY71))*(1+$DH$2)),AND($W$2=$DB$2,$B72&gt;$DB$4),IF($Y71=0,0,(V71-((V71/$Y71)*$BY71))*(1+$DH$2)),AND($W$2=$DA$2,OR($A72&gt;$DA$3,$A72&gt;$DA$6)),(V71*(1+$DH$1)),AND($W$2=$DB$2,OR($B72&gt;$DB$3,$B72&gt;$DB$6)),(V71*(1+$DH$1)),AND($W$2=$DA$2,$A72&lt;=$DA$3,$A72&lt;=$DA$4,$A72&lt;=$DA$5),(V71*(1+$DH$1))+(V$4),AND($W$2=$DB$2,$B72&lt;=$DB$3,$B72&lt;=$DB$4,$B72&lt;=$DB$5),(V71*(1+$DH$1))+(V$4))</f>
        <v>0</v>
      </c>
      <c r="W72" s="326" cm="1">
        <f t="array" ref="W72">_xlfn.IFS(AND($A72&gt;$DA$6,$B72&gt;$DB$6),0,AND($W$2=$DA$2,$A72&gt;$DA$4),IF($Y71=0,0,(W71-((W71/$Y71)*$BY71))*(1+$DH$2)),AND($W$2=$DB$2,$B72&gt;$DB$4),IF($Y71=0,0,(W71-((W71/$Y71)*$BY71))*(1+$DH$2)),AND($W$2=$DA$2,OR($A72&gt;$DA$3,$A72&gt;$DA$6)),(W71*(1+$DH$1)),AND($W$2=$DB$2,OR($B72&gt;$DB$3,$B72&gt;$DB$6)),(W71*(1+$DH$1)),AND($W$2=$DA$2,$A72&lt;=$DA$3,$A72&lt;=$DA$4,$A72&lt;=$DA$5),(W71*(1+$DH$1))+(W$4),AND($W$2=$DB$2,$B72&lt;=$DB$3,$B72&lt;=$DB$4,$B72&lt;=$DB$5),(W71*(1+$DH$1))+(W$4))</f>
        <v>0</v>
      </c>
      <c r="Y72" s="1">
        <f t="shared" ref="Y72:Y92" si="80">SUM(L72:W72)</f>
        <v>0</v>
      </c>
      <c r="Z72" s="2">
        <f t="shared" si="71"/>
        <v>0</v>
      </c>
      <c r="AA72" s="375"/>
      <c r="AC72" s="326" cm="1">
        <f t="array" ref="AC72">_xlfn.IFS(AND(A72&gt;DA$6,B72&gt;DB$6),0,AND(A72&gt;DA$4,B72&gt;DB$4),IF(AG71=0,0,(AC71-((AC71/AG71)*CA71))*(1+DH$2)),OR(A72&gt;DA$3,A72&gt;DA$6),AC71*(1+DH$1),A72&gt;DA$4,(AC71-CA71)*(1+DH$2),AND(A72&lt;=DA$3,A72&lt;=DA$4,A72&lt;=DA$6),(AC71*(1+DH$1))+(AC$4))</f>
        <v>0</v>
      </c>
      <c r="AD72" s="375"/>
      <c r="AE72" s="326" cm="1">
        <f t="array" ref="AE72">_xlfn.IFS(AND(A72&gt;DA$6,B72&gt;DB$6),0,AND(A72&gt;DA$4,B72&gt;DB$4),IF(AG71=0,0,(AE71-((AE71/AG71)*CA71))*(1+DH$2)),OR(B72&gt;DB$3,B72&gt;DB$6),AE71*(1+DH$1),B72&gt;DB$4,(AE71-CA71)*(1+DH$2),AND(B72&lt;=DB$3,B72&lt;=DB$4,B72&lt;=DB$6),(AE71*(1+DH$1))+(AE$4))</f>
        <v>0</v>
      </c>
      <c r="AF72" s="375"/>
      <c r="AG72" s="1">
        <f t="shared" si="61"/>
        <v>0</v>
      </c>
      <c r="AH72" s="2">
        <f t="shared" ref="AH72:AH92" si="81">IF(AK72=0,0,AG72/AK72)</f>
        <v>0</v>
      </c>
      <c r="AI72" s="14">
        <f t="shared" si="72"/>
        <v>0</v>
      </c>
      <c r="AK72" s="1">
        <f t="shared" ref="AK72:AK92" si="82">AG72+H72+Y72</f>
        <v>0</v>
      </c>
      <c r="AL72" s="14">
        <f t="shared" si="73"/>
        <v>0</v>
      </c>
      <c r="AM72" s="14" t="str">
        <f t="shared" ref="AM72:AM86" si="83">IF(AL72&gt;0,AK72-AL72,"")</f>
        <v/>
      </c>
      <c r="AO72" s="15">
        <f t="shared" si="74"/>
        <v>0</v>
      </c>
      <c r="AP72" s="1">
        <f>IF(AND(B72&gt;=$DB$6,A72&gt;=$DA$6),0,AP71*(1+Lookups!C$12))</f>
        <v>0</v>
      </c>
      <c r="AQ72" s="1">
        <f>IF(AND(B72&gt;=$DB$6,A72&gt;=$DA$6),0,AQ71*(1+Lookups!C$12))</f>
        <v>0</v>
      </c>
      <c r="AS72" s="1" cm="1">
        <f t="array" ref="AS72">_xlfn.IFS(OR(AS$6="",AND(A72&gt;=DA$6,B72&gt;=DB$6),AND(A72&lt;DA$4,B72&lt;DB$4)),0,AND(A72=DA$4,DA$4&lt;=DB$4),AS$6,AND(B72=DB$4,DA$4&gt;=DB$4),AS$6,OR(A72&gt;DA$4,B72&gt;DB$4),AS71*(1+Setup!C$103))</f>
        <v>0</v>
      </c>
      <c r="AT72" s="1" cm="1">
        <f t="array" ref="AT72">_xlfn.IFS(OR(AT$6="",AND(A72&gt;=DA$6,B72&gt;=DB$6),AND(A72&lt;DA$4,B72&lt;DB$4)),0,AND(A72=DA$4,DA$4&lt;=DB$4),AT$6,AND(B72=DB$4,DA$4&gt;=DB$4),AT$6,OR(A72&gt;DA$4,B72&gt;DB$4),AT71*(1+Setup!C$103))</f>
        <v>0</v>
      </c>
      <c r="AU72" s="1" cm="1">
        <f t="array" ref="AU72">_xlfn.IFS(OR(AU$6="",AND(A72&gt;=DA$6,B72&gt;=DB$6),AND(A72&lt;DA$4,B72&lt;DB$4)),0,AND(A72=DA$4,DA$4&lt;=DB$4),AU$6,AND(B72=DB$4,DA$4&gt;=DB$4),AU$6,OR(A72&gt;DA$4,B72&gt;DB$4),AU71*(1+Setup!C$103))</f>
        <v>0</v>
      </c>
      <c r="AV72" s="1" cm="1">
        <f t="array" ref="AV72">_xlfn.IFS(OR(AV$6="",AND(A72&gt;=DA$6,B72&gt;=DB$6),AND(A72&lt;DA$4,B72&lt;DB$4)),0,AND(A72=DA$4,DA$4&lt;=DB$4),AV$6,AND(B72=DB$4,DA$4&gt;=DB$4),AV$6,OR(A72&gt;DA$4,B72&gt;DB$4),AV71*(1+Setup!C$103))</f>
        <v>0</v>
      </c>
      <c r="AW72" s="1">
        <f t="shared" si="75"/>
        <v>0</v>
      </c>
      <c r="AY72" s="1" cm="1">
        <f t="array" ref="AY72">_xlfn.IFS(OR(AND(A72&gt;=DA$6,B72&gt;=DB$6),A72&lt;DA$5),0,AND(A72=DA$5,YEAR(C72)&gt;=Lookups!D$89),VLOOKUP(A72,Lookups!B$94:F$102,3),AND(A72=DA$5,YEAR(C72)&lt;Lookups!D$89),VLOOKUP(A72,Lookups!B$94:F$102,2),AND(A72&gt;DA$5,YEAR(C72)=Lookups!D$89),(AY71*Lookups!D$90)*(1+Lookups!C$20),AND(A72&gt;DA$5,YEAR(C72)&lt;&gt;Lookups!D$89),AY71*(1+Lookups!C$20))</f>
        <v>0</v>
      </c>
      <c r="AZ72" s="1" cm="1">
        <f t="array" ref="AZ72">_xlfn.IFS(OR(ISBLANK(Setup!K$91),Setup!K$91=0,AND(A72&gt;=DA$6,B72&gt;=DB$6),B72&lt;DB$5),0,AND(B72=DB$5,YEAR(C72)&gt;=Lookups!D$89),VLOOKUP(B72,Lookups!B$94:F$102,5),AND(B72=DB$5,YEAR(C72)&lt;Lookups!D$89),VLOOKUP(B72,Lookups!B$94:F$102,4),AND(B72&gt;DB$5,YEAR(C72)=Lookups!D$89),(AZ71*Lookups!D$90)*(1+Lookups!C$20),AND(B72&gt;DB$5,YEAR(C72)&lt;&gt;Lookups!D$89),AZ71*(1+Lookups!C$20))</f>
        <v>0</v>
      </c>
      <c r="BA72" s="65">
        <f>IF(OR(AY72&gt;0,AZ72&gt;0),(AY72+AZ72)*Lookups!D$120,0)</f>
        <v>0</v>
      </c>
      <c r="BB72" s="1" cm="1">
        <f t="array" ref="BB72">_xlfn.IFS(AND(A72&lt;DA$4,B72&lt;DB$4),0,OR(_xlfn.XOR(A72&gt;DA$6,B72&gt;DB$6),_xlfn.XOR(A72&gt;=DA$4,B72&gt;=DB$4)),IF(AP72-SUM(AW72,AY72:AZ72)&gt;0,AP72-SUM(AW72,AY72:AZ72),0),AQ72-SUM(AW72,AY72:AZ72)&gt;0, AQ72-SUM(AW72,AY72:AZ72),AQ72-SUM(AW72,AY72:AZ72)&lt;=0,0)</f>
        <v>0</v>
      </c>
      <c r="BD72" s="1" cm="1">
        <f t="array" ref="BD72">_xlfn.IFS(AND(A72&gt;=DA$6,B72&gt;=DB$6),0,AND(A72&gt;=DA$6,B72&gt;=Lookups!C$35),D72/VLOOKUP(B72,Lookups!C$37:D$67,2),A72&lt;Lookups!$C$35,0,A72&gt;=Lookups!C$35,D72/VLOOKUP(A72,Lookups!C$37:D$67,2))</f>
        <v>0</v>
      </c>
      <c r="BE72" s="1" cm="1">
        <f t="array" ref="BE72">_xlfn.IFS(AND(A72&gt;=DA$6,B72&gt;=DB$6),0,AND(B72&gt;=DB$6,A72&gt;=Lookups!C$35),F72/VLOOKUP(A72,Lookups!C$37:D$67,2),B72&lt;Lookups!$C$35,0,B72&gt;=Lookups!C$35,F72/VLOOKUP(B72,Lookups!C$37:D$67,2))</f>
        <v>0</v>
      </c>
      <c r="BF72" s="1" cm="1">
        <f t="array" ref="BF72">_xlfn.IFS($BB72&lt;=0,0,AND(A72&gt;=DA$4,B72&gt;=DB$4,$BB72*I72&lt;(BD72+BE72)),0,AND(A72&gt;=DA$4,B72&gt;=DB$4,H72&gt;=(BB72*I72)-BD72-BE72),(BB72*I72)-BD72-BE72,AND(A72&gt;=DA$4,B72&gt;=DB$4,H72&lt;(BB72*I72)-BD72-BE72),H72,AND(A72&gt;=DA$4,$BB72*I72&lt;(BD72)),0,AND(A72&gt;=DA$4,H72&gt;=(BB72*I72)-BD72),(BB72*I72)-BD72,AND(A72&gt;=DA$4,H72&lt;(BB72*I72)-BD72),H72,AND(B72&gt;=DB$4,$BB72*I72&lt;(BE72)),0,AND(B72&gt;=DB$4,H72&gt;=(BB72*I72)-BE72),(BB72*I72)-BE72,AND(B72&gt;=DB$4,H72&lt;(BB72*I72)-BE72),H72)</f>
        <v>0</v>
      </c>
      <c r="BG72" s="1">
        <f t="shared" si="66"/>
        <v>0</v>
      </c>
      <c r="BH72" s="1" cm="1">
        <f t="array" ref="BH72">_xlfn.IFS(OR(D72=0,A72&lt;DA$4),0,AND(A72&gt;=DA$4,B72&gt;=DB$4,D72&lt;BD72+($BF72*(D72/$H72))+(-$BP72*(D72/$H72))),D72,AND(A72&gt;=DA$4,B72&gt;=DB$4,$BB72&gt;$BG72),BD72+($BF72*(D72/$H72))+(-$BP72*(D72/$H72)),AND(A72&gt;=DA$4,B72&gt;=DB$4,OR(A72&gt;DA$6, B72&gt;DB$6),$AP72-SUM($AW72,$AY72:$AZ72)&lt;0),BD72+($BF72*(D72/$H72))+(-$BP72*(D72/$H72))+(BP72*(D72/$H72)),AND(A72&gt;=DA$4,B72&gt;=DB$4,$AQ72-SUM($AW72,$AY72:$AZ72)&lt;0),BD72+($BF72*(D72/$H72))+(-$BP72*(D72/$H72))+(BP72*(D72/$H72)),AND(A72&gt;=DA$4,D72&lt;BD72+$BF72-$BP72),D72,AND(A72&gt;=DA$4,$AP72-SUM($AW72,$AY72:$AZ72)&lt;0),BD72+($BF72*(D72/$H72))+(-$BP72*(D72/$H72))+(BP72*(D72/$H72)),A72&gt;=DA$4,BD72+$BF72-$BP72)</f>
        <v>0</v>
      </c>
      <c r="BI72" s="1" cm="1">
        <f t="array" ref="BI72">_xlfn.IFS(OR(F72=0,B72&lt;DB$4),0,AND(A72&gt;=DA$4,B72&gt;=DB$4,F72&lt;BE72+($BF72*(F72/$H72))+(-$BP72*(F72/$H72))),F72,AND(A72&gt;=DA$4,B72&gt;=DB$4,$BB72&gt;$BG72),BE72+($BF72*(F72/$H72))+(-$BP72*(F72/$H72)),AND(A72&gt;=DA$4,B72&gt;=DB$4,OR(A72&gt;DA$6, B72&gt;DB$6),$AP72-SUM($AW72,$AY72:$AZ72)&lt;0),BE72+($BF72*(F72/$H72))+(-$BP72*(F72/$H72))+(BP72*(F72/$H72)),AND(A72&gt;=DA$4,B72&gt;=DB$4,$AQ72-SUM($AW72,$AY72:$AZ72)&lt;0),BE72+($BF72*(F72/$H72))+(-$BP72*(F72/$H72))+(BP72*(F72/$H72)),AND(B72&gt;=DB$4,F72&lt;BE72+$BF72-$BP72),F72,AND(B72&gt;=DB$4,$AP72-SUM($AW72,$AY72:$AZ72)&lt;0),BE72+($BF72*(F72/$H72))+(-$BP72*(F72/$H72))+(BP72*(F72/$H72)),B72&gt;=DB$4,BE72+$BF72-$BP72)</f>
        <v>0</v>
      </c>
      <c r="BJ72" s="64" cm="1">
        <f t="array" ref="BJ72">IF(AW72+BA72+BG72&gt;0, AW72+BA72+BG72-_xlfn.IFS(AND(A72&gt;=65,B72&gt;=65),VLOOKUP(Setup!I$4,Lookups!C$133:F$136,4),OR(A72&gt;=65,B72&gt;=65),VLOOKUP(Setup!I$4,Lookups!C$133:E$136,3),AND(A72&lt;65,B72&lt;65),VLOOKUP(Setup!I$4,Lookups!C$133:D$136,2)),0)</f>
        <v>0</v>
      </c>
      <c r="BK72" s="1" cm="1">
        <f t="array" ref="BK72">IF(BJ72&gt;0,_xlfn.IFS(Setup!I$4=Lookups!D$109,-_xlfn.IFS($BJ72&gt;=Lookups!D$157, Lookups!F$157+($BJ72-Lookups!D$157)*Lookups!G$157,$BJ72&gt;=Lookups!D$156, Lookups!F$156+($BJ72-Lookups!D$156)*Lookups!G$156,$BJ72&gt;=Lookups!D$155, Lookups!F$155+($BJ72-Lookups!D$155)*Lookups!G$155,$BJ72&gt;=Lookups!D$154, Lookups!F$154+($BJ72-Lookups!D$154)*Lookups!G$154,$BJ72&gt;=Lookups!D$153, Lookups!F$153+($BJ72-Lookups!D$153)*Lookups!G$153,$BJ72&gt;=Lookups!D$152, Lookups!F$152+($BJ72-Lookups!D$152)*Lookups!G$152,$BJ72&lt;Lookups!D$152,$BJ72*Lookups!G$151),Setup!I$4=Lookups!D$110,-_xlfn.IFS($BJ72&gt;=Lookups!D$167, Lookups!F$167+($BJ72-Lookups!D$167)*Lookups!G$167,$BJ72&gt;=Lookups!D$166, Lookups!F$166+($BJ72-Lookups!D$166)*Lookups!G$166,$BJ72&gt;=Lookups!D$165, Lookups!F$165+($BJ72-Lookups!D$165)*Lookups!G$165,$BJ72&gt;=Lookups!D$164, Lookups!F$164+($BJ72-Lookups!D$164)*Lookups!G$164,$BJ72&gt;=Lookups!D$163, Lookups!F$163+($BJ72-Lookups!D$163)*Lookups!G$163,$BJ72&gt;=Lookups!D$162, Lookups!F$162+($BJ72-Lookups!D$162)*Lookups!G$162,$BJ72&lt;Lookups!D$162,$BJ72*Lookups!G$161),Setup!I$4=Lookups!D$111,-_xlfn.IFS($BJ72&gt;=Lookups!D$177, Lookups!F$177+($BJ72-Lookups!D$177)*Lookups!G$177,$BJ72&gt;=Lookups!D$176, Lookups!F$176+($BJ72-Lookups!D$176)*Lookups!G$176,$BJ72&gt;=Lookups!D$175, Lookups!F$175+($BJ72-Lookups!D$175)*Lookups!G$175,$BJ72&gt;=Lookups!D$174, Lookups!F$174+($BJ72-Lookups!D$174)*Lookups!G$174,$BJ72&gt;=Lookups!D$173, Lookups!F$173+($BJ72-Lookups!D$173)*Lookups!G$173,$BJ72&gt;=Lookups!D$172, Lookups!F$172+($BJ72-Lookups!D$172)*Lookups!G$172,$BJ72&lt;Lookups!D$172,$BJ72*Lookups!G$171), Setup!I$4=Lookups!D$112,-_xlfn.IFS($BJ72&gt;=Lookups!D$187, Lookups!F$187+($BJ72-Lookups!D$187)*Lookups!G$187,$BJ72&gt;=Lookups!D$186, Lookups!F$186+($BJ72-Lookups!D$186)*Lookups!G$186,$BJ72&gt;=Lookups!D$185, Lookups!F$185+($BJ72-Lookups!D$185)*Lookups!G$185,$BJ72&gt;=Lookups!D$184, Lookups!F$184+($BJ72-Lookups!D$184)*Lookups!G$184,$BJ72&gt;=Lookups!D$183, Lookups!F$183+($BJ72-Lookups!D$183)*Lookups!G$183,$BJ72&gt;=Lookups!D$182, Lookups!F$182+($BJ72-Lookups!D$182)*Lookups!G$182,$BJ72&lt;Lookups!D$182,$BJ72*Lookups!G$181)),0)</f>
        <v>0</v>
      </c>
      <c r="BL72" s="18">
        <f t="shared" si="76"/>
        <v>0</v>
      </c>
      <c r="BM72" s="134">
        <f t="shared" si="67"/>
        <v>0</v>
      </c>
      <c r="BN72" s="134" cm="1">
        <f t="array" aca="1" ref="BN72" ca="1">INDIRECT(Setup!I$6&amp;"!"&amp;"A"&amp;ROW())</f>
        <v>0</v>
      </c>
      <c r="BO72" s="134">
        <f t="shared" ref="BO72:BO92" si="84">IF(SUM(AW72,AY72:AZ72,BH72:BI72)-BG72+BP72&gt;0,0,SUM(AW72,BH72:BI72)-BG72+BP72)</f>
        <v>0</v>
      </c>
      <c r="BP72" s="1">
        <f t="shared" si="77"/>
        <v>0</v>
      </c>
      <c r="BQ72" s="1">
        <f t="shared" ref="BQ72:BQ92" si="85">IF(AND(BH72=0,BI72=0),BB72-BP72,BB72-BG72)</f>
        <v>0</v>
      </c>
      <c r="BS72" s="1">
        <f t="shared" ref="BS72:BS92" si="86">IF(Y72=0,0,IF(BQ72&gt;0,IF(Y72&gt;=BQ72*(Y72/(AG72+Y72)),BQ72*(Y72/(AG72+Y72)),Y72),0))</f>
        <v>0</v>
      </c>
      <c r="BT72" s="1" cm="1">
        <f t="array" ref="BT72">-IF(BS72&gt;0,_xlfn.IFS((AW72+BA72+BG72+BS72)&gt;=VLOOKUP(Setup!I$4,Lookups!C$210:E$213,3),BS72*Lookups!D$203,(AW72+BA72+BG72+BS72)&gt;=VLOOKUP(Setup!I$4,Lookups!C$210:E$213,2),BS72*Lookups!D$197,(AW72+BA72+BG72+BS72)&lt;VLOOKUP(Setup!I$4,Lookups!C$210:E$213,2),0),0)</f>
        <v>0</v>
      </c>
      <c r="BU72" s="18">
        <f t="shared" ref="BU72:BU92" si="87">IF(BS72=0,0,-BT72/BS72)</f>
        <v>0</v>
      </c>
      <c r="BV72" s="1">
        <f t="shared" ref="BV72:BV92" si="88">IF(BT72=0,0,(BT72*BU72^2)+(BT72*BU72^3)+(BT72*BU72^4)+(BT72*BU72^5)+(BT72*BU72^6)+(BT72*BU72^7)+(BT72*BU72^8)+(BT72*BU72^9)+(BT72*BU72^10))</f>
        <v>0</v>
      </c>
      <c r="BW72" s="1" cm="1">
        <f t="array" aca="1" ref="BW72" ca="1">INDIRECT(Setup!I$6&amp;"!"&amp;"A"&amp;ROW()+100)</f>
        <v>0</v>
      </c>
      <c r="BX72" s="1">
        <f t="shared" ca="1" si="78"/>
        <v>0</v>
      </c>
      <c r="BY72" s="1">
        <f t="shared" ca="1" si="79"/>
        <v>0</v>
      </c>
      <c r="CA72" s="1">
        <f t="shared" si="59"/>
        <v>0</v>
      </c>
      <c r="CC72" s="1" cm="1">
        <f t="array" ref="CC72">_xlfn.IFS(AND(A72&lt;$DA$4,B72&lt;$DB$4),0,AND(AND(A72&gt;=$DA$4,B72&gt;=$DB$4),AND(A72&lt;=$DA$6,B72&lt;=$DB$6),AND(BH72=0,BI72=0)),SUM(AW72,AY72:AZ72,BD72:BF72,BP72,BS72,CA72)-AQ72,AND(AND(A72&gt;=$DA$4,B72&gt;=$DB$4),AND(A72&lt;=$DA$6,B72&lt;=$DB$6)),SUM(AW72,AY72:AZ72,BD72:BF72,BS72,CA72)-AQ72,AND(OR(A72&gt;=$DA$4,B72&gt;=$DB$4),AND(BH72=0,BI72=0)),SUM(AW72,AY72:AZ72,BD72:BF72,BP72,BS72,CA72)-AP72,OR(A72&gt;=$DA$4,B72&gt;=$DB$4),SUM(AW72,AY72:AZ72,BD72:BF72,BS72,CA72)-AP72)</f>
        <v>0</v>
      </c>
      <c r="CD72" s="142" t="str">
        <f t="shared" ref="CD72:CD92" si="89">IF(OR(A72&gt;=DA$4,B72&gt;=DB$4),IF(CC72&lt;-1,"Under",IF(CC72&gt;1,"Over","")),"")</f>
        <v/>
      </c>
    </row>
    <row r="73" spans="1:82" x14ac:dyDescent="0.3">
      <c r="A73" s="354">
        <f t="shared" si="68"/>
        <v>66</v>
      </c>
      <c r="B73" s="354">
        <f t="shared" si="69"/>
        <v>66</v>
      </c>
      <c r="C73" s="359">
        <f t="shared" ref="C73:C92" si="90">DATE(YEAR(C72)+1,1,1)</f>
        <v>24108</v>
      </c>
      <c r="D73" s="326" cm="1">
        <f t="array" ref="D73">_xlfn.IFS(AND(A73&gt;DA$6,B73&gt;DB$6),0,AND(A73&gt;DA$3,A73&lt;=DA$4),D72*(1+DH$1),OR(A73&gt;DA$6,A73&gt;DA$4),(D72-BH72)*(1+DH$2),A73&lt;=DA$4,(D72*(1+DH$1))+(D$4))</f>
        <v>0</v>
      </c>
      <c r="E73" s="375"/>
      <c r="F73" s="326" cm="1">
        <f t="array" ref="F73">_xlfn.IFS(AND(A73&gt;DA$6,B73&gt;DB$6),0,AND(B73&gt;DB$3,B73&lt;=DB$4),F72*(1+DH$1),OR(B73&gt;DB$6,B73&gt;DB$4),(F72-BI72)*(1+DH$2),B73&lt;=DB$4,(F72*(1+DH$1))+(F$4))</f>
        <v>0</v>
      </c>
      <c r="G73" s="375"/>
      <c r="H73" s="1">
        <f t="shared" si="65"/>
        <v>0</v>
      </c>
      <c r="I73" s="2">
        <f t="shared" si="70"/>
        <v>0</v>
      </c>
      <c r="J73" s="14">
        <f t="shared" si="64"/>
        <v>0</v>
      </c>
      <c r="L73" s="402" cm="1">
        <f t="array" ref="L73">_xlfn.IFS(AND(A73&gt;DA$6,B73&gt;DB$6),0,A73&lt;DA$6,0,A73=DA$6,L$4,AND(A73&gt;DA$6,B73&lt;=DB$4),L72*(1+DH$1),AND(A73&gt;DA$6,B73&gt;DB$4),IF(Y72=0,0,(L72-((L72/Y72)*BY72))*(1+DH$2)))</f>
        <v>0</v>
      </c>
      <c r="M73" s="402" cm="1">
        <f t="array" ref="M73">_xlfn.IFS(AND(A73&gt;DA$6,B73&gt;DB$6),0,B73&lt;DB$6,0,B73=DB$6,M$4,AND(B73&gt;DB$6,A73&lt;=DA$4),M72*(1+DH$1),AND(A73&gt;DA$4,B73&gt;DB$6),IF(Y72=0,0,(M72-((M72/Y72)*BY72))*(1+DH$2)))</f>
        <v>0</v>
      </c>
      <c r="N73" s="327"/>
      <c r="O73" s="327" cm="1">
        <f t="array" ref="O73">_xlfn.IFS(OR(ISBLANK(Setup!C$63),Setup!C$63&gt;YEAR(C73),AND(A73&gt;DA$6,B73&gt;DB$6),ISBLANK(Y72)),0,Setup!C$63=YEAR(C73),Setup!C$62,AND(OR(A73&lt;=DA$4,B73&lt;=DB$4),Setup!C$63&lt;YEAR(C73)),O72*(1+DH$1),AND(A73&gt;DA$4,B73&gt;DB$4,Setup!C$63&lt;YEAR(C73)),IF(Y72=0,0,(O72-((O72/Y72)*BY72))*(1+DH$2)))</f>
        <v>0</v>
      </c>
      <c r="P73" s="327" cm="1">
        <f t="array" ref="P73">_xlfn.IFS(OR(ISBLANK(Setup!C$67),Setup!C$67&gt;YEAR(C73),AND(A73&gt;DA$6,B73&gt;DB$6)),0,Setup!C$67=YEAR(C73),Setup!C$66,AND(OR(A73&lt;=DA$4,B73&lt;=DB$4),Setup!C$67&lt;YEAR(C73)),P72*(1+DH$1),AND(A73&gt;DA$4,B73&gt;DB$4,Setup!C$67&lt;YEAR(C73)),IF(Y72=0,0,(P72-((P72/Y72)*BY72))*(1+DH$2)))</f>
        <v>0</v>
      </c>
      <c r="Q73" s="327" cm="1">
        <f t="array" ref="Q73">_xlfn.IFS(OR(ISBLANK(Setup!C$71),Setup!C$71&gt;YEAR(C73),AND(A73&gt;DA$6,B73&gt;DB$6)),0,Setup!C$71=YEAR(C73),Setup!C$70,AND(OR(A73&lt;=DA$4,B73&lt;=DB$4),Setup!C$71&lt;YEAR(C73)),Q72*(1+DH$1),AND(A73&gt;DA$4,B73&gt;DB$4,Setup!C$71&lt;YEAR(C73)),IF(Y72=0,0,(Q72-((Q72/Y72)*BY72))*(1+DH$2)))</f>
        <v>0</v>
      </c>
      <c r="R73" s="327" cm="1">
        <f t="array" ref="R73">_xlfn.IFS(OR(ISBLANK(Setup!C$75),Setup!C$75&gt;YEAR(C73),AND(A73&gt;DA$6,B73&gt;DB$6)),0,Setup!C$75=YEAR(C73),Setup!C$74,AND(OR(A73&lt;=DA$4,B73&lt;=DB$4),Setup!C$75&lt;YEAR(C73)),R72*(1+DH$1),AND(A73&gt;DA$4,B73&gt;DB$4,Setup!C$75&lt;YEAR(C73)),IF(Y72=0,0,(R72-((R72/Y72)*BY72))*(1+DH$2)))</f>
        <v>0</v>
      </c>
      <c r="S73" s="327"/>
      <c r="T73" s="326" cm="1">
        <f t="array" ref="T73">_xlfn.IFS(AND($A73&gt;$DA$6,$B73&gt;$DB$6),0,AND($W$2=$DA$2,$A73&gt;$DA$4),IF($Y72=0,0,(T72-((T72/$Y72)*$BY72))*(1+$DH$2)),AND($W$2=$DB$2,$B73&gt;$DB$4),IF($Y72=0,0,(T72-((T72/$Y72)*$BY72))*(1+$DH$2)),AND($W$2=$DA$2,OR($A73&gt;$DA$3,$A73&gt;$DA$6)),(T72*(1+$DH$1)),AND($W$2=$DB$2,OR($B73&gt;$DB$3,$B73&gt;$DB$6)),(T72*(1+$DH$1)),AND($W$2=$DA$2,$A73&lt;=$DA$3,$A73&lt;=$DA$4,$A73&lt;=$DA$5),(T72*(1+$DH$1))+(T$4),AND($W$2=$DB$2,$B73&lt;=$DB$3,$B73&lt;=$DB$4,$B73&lt;=$DB$5),(T72*(1+$DH$1))+(T$4))</f>
        <v>0</v>
      </c>
      <c r="U73" s="326" cm="1">
        <f t="array" ref="U73">_xlfn.IFS(AND($A73&gt;$DA$6,$B73&gt;$DB$6),0,AND($W$2=$DA$2,$A73&gt;$DA$4),IF($Y72=0,0,(U72-((U72/$Y72)*$BY72))*(1+$DH$2)),AND($W$2=$DB$2,$B73&gt;$DB$4),IF($Y72=0,0,(U72-((U72/$Y72)*$BY72))*(1+$DH$2)),AND($W$2=$DA$2,OR($A73&gt;$DA$3,$A73&gt;$DA$6)),(U72*(1+$DH$1)),AND($W$2=$DB$2,OR($B73&gt;$DB$3,$B73&gt;$DB$6)),(U72*(1+$DH$1)),AND($W$2=$DA$2,$A73&lt;=$DA$3,$A73&lt;=$DA$4,$A73&lt;=$DA$5),(U72*(1+$DH$1))+(U$4),AND($W$2=$DB$2,$B73&lt;=$DB$3,$B73&lt;=$DB$4,$B73&lt;=$DB$5),(U72*(1+$DH$1))+(U$4))</f>
        <v>0</v>
      </c>
      <c r="V73" s="326" cm="1">
        <f t="array" ref="V73">_xlfn.IFS(AND($A73&gt;$DA$6,$B73&gt;$DB$6),0,AND($W$2=$DA$2,$A73&gt;$DA$4),IF($Y72=0,0,(V72-((V72/$Y72)*$BY72))*(1+$DH$2)),AND($W$2=$DB$2,$B73&gt;$DB$4),IF($Y72=0,0,(V72-((V72/$Y72)*$BY72))*(1+$DH$2)),AND($W$2=$DA$2,OR($A73&gt;$DA$3,$A73&gt;$DA$6)),(V72*(1+$DH$1)),AND($W$2=$DB$2,OR($B73&gt;$DB$3,$B73&gt;$DB$6)),(V72*(1+$DH$1)),AND($W$2=$DA$2,$A73&lt;=$DA$3,$A73&lt;=$DA$4,$A73&lt;=$DA$5),(V72*(1+$DH$1))+(V$4),AND($W$2=$DB$2,$B73&lt;=$DB$3,$B73&lt;=$DB$4,$B73&lt;=$DB$5),(V72*(1+$DH$1))+(V$4))</f>
        <v>0</v>
      </c>
      <c r="W73" s="326" cm="1">
        <f t="array" ref="W73">_xlfn.IFS(AND($A73&gt;$DA$6,$B73&gt;$DB$6),0,AND($W$2=$DA$2,$A73&gt;$DA$4),IF($Y72=0,0,(W72-((W72/$Y72)*$BY72))*(1+$DH$2)),AND($W$2=$DB$2,$B73&gt;$DB$4),IF($Y72=0,0,(W72-((W72/$Y72)*$BY72))*(1+$DH$2)),AND($W$2=$DA$2,OR($A73&gt;$DA$3,$A73&gt;$DA$6)),(W72*(1+$DH$1)),AND($W$2=$DB$2,OR($B73&gt;$DB$3,$B73&gt;$DB$6)),(W72*(1+$DH$1)),AND($W$2=$DA$2,$A73&lt;=$DA$3,$A73&lt;=$DA$4,$A73&lt;=$DA$5),(W72*(1+$DH$1))+(W$4),AND($W$2=$DB$2,$B73&lt;=$DB$3,$B73&lt;=$DB$4,$B73&lt;=$DB$5),(W72*(1+$DH$1))+(W$4))</f>
        <v>0</v>
      </c>
      <c r="Y73" s="1">
        <f t="shared" si="80"/>
        <v>0</v>
      </c>
      <c r="Z73" s="2">
        <f t="shared" si="71"/>
        <v>0</v>
      </c>
      <c r="AA73" s="375"/>
      <c r="AC73" s="326" cm="1">
        <f t="array" ref="AC73">_xlfn.IFS(AND(A73&gt;DA$6,B73&gt;DB$6),0,AND(A73&gt;DA$4,B73&gt;DB$4),IF(AG72=0,0,(AC72-((AC72/AG72)*CA72))*(1+DH$2)),OR(A73&gt;DA$3,A73&gt;DA$6),AC72*(1+DH$1),A73&gt;DA$4,(AC72-CA72)*(1+DH$2),AND(A73&lt;=DA$3,A73&lt;=DA$4,A73&lt;=DA$6),(AC72*(1+DH$1))+(AC$4))</f>
        <v>0</v>
      </c>
      <c r="AD73" s="375"/>
      <c r="AE73" s="326" cm="1">
        <f t="array" ref="AE73">_xlfn.IFS(AND(A73&gt;DA$6,B73&gt;DB$6),0,AND(A73&gt;DA$4,B73&gt;DB$4),IF(AG72=0,0,(AE72-((AE72/AG72)*CA72))*(1+DH$2)),OR(B73&gt;DB$3,B73&gt;DB$6),AE72*(1+DH$1),B73&gt;DB$4,(AE72-CA72)*(1+DH$2),AND(B73&lt;=DB$3,B73&lt;=DB$4,B73&lt;=DB$6),(AE72*(1+DH$1))+(AE$4))</f>
        <v>0</v>
      </c>
      <c r="AF73" s="375"/>
      <c r="AG73" s="1">
        <f t="shared" si="61"/>
        <v>0</v>
      </c>
      <c r="AH73" s="2">
        <f t="shared" si="81"/>
        <v>0</v>
      </c>
      <c r="AI73" s="14">
        <f t="shared" si="72"/>
        <v>0</v>
      </c>
      <c r="AK73" s="1">
        <f t="shared" si="82"/>
        <v>0</v>
      </c>
      <c r="AL73" s="14">
        <f t="shared" si="73"/>
        <v>0</v>
      </c>
      <c r="AM73" s="14" t="str">
        <f t="shared" si="83"/>
        <v/>
      </c>
      <c r="AO73" s="15">
        <f t="shared" si="74"/>
        <v>0</v>
      </c>
      <c r="AP73" s="1">
        <f>IF(AND(B73&gt;=$DB$6,A73&gt;=$DA$6),0,AP72*(1+Lookups!C$12))</f>
        <v>0</v>
      </c>
      <c r="AQ73" s="1">
        <f>IF(AND(B73&gt;=$DB$6,A73&gt;=$DA$6),0,AQ72*(1+Lookups!C$12))</f>
        <v>0</v>
      </c>
      <c r="AS73" s="1" cm="1">
        <f t="array" ref="AS73">_xlfn.IFS(OR(AS$6="",AND(A73&gt;=DA$6,B73&gt;=DB$6),AND(A73&lt;DA$4,B73&lt;DB$4)),0,AND(A73=DA$4,DA$4&lt;=DB$4),AS$6,AND(B73=DB$4,DA$4&gt;=DB$4),AS$6,OR(A73&gt;DA$4,B73&gt;DB$4),AS72*(1+Setup!C$103))</f>
        <v>0</v>
      </c>
      <c r="AT73" s="1" cm="1">
        <f t="array" ref="AT73">_xlfn.IFS(OR(AT$6="",AND(A73&gt;=DA$6,B73&gt;=DB$6),AND(A73&lt;DA$4,B73&lt;DB$4)),0,AND(A73=DA$4,DA$4&lt;=DB$4),AT$6,AND(B73=DB$4,DA$4&gt;=DB$4),AT$6,OR(A73&gt;DA$4,B73&gt;DB$4),AT72*(1+Setup!C$103))</f>
        <v>0</v>
      </c>
      <c r="AU73" s="1" cm="1">
        <f t="array" ref="AU73">_xlfn.IFS(OR(AU$6="",AND(A73&gt;=DA$6,B73&gt;=DB$6),AND(A73&lt;DA$4,B73&lt;DB$4)),0,AND(A73=DA$4,DA$4&lt;=DB$4),AU$6,AND(B73=DB$4,DA$4&gt;=DB$4),AU$6,OR(A73&gt;DA$4,B73&gt;DB$4),AU72*(1+Setup!C$103))</f>
        <v>0</v>
      </c>
      <c r="AV73" s="1" cm="1">
        <f t="array" ref="AV73">_xlfn.IFS(OR(AV$6="",AND(A73&gt;=DA$6,B73&gt;=DB$6),AND(A73&lt;DA$4,B73&lt;DB$4)),0,AND(A73=DA$4,DA$4&lt;=DB$4),AV$6,AND(B73=DB$4,DA$4&gt;=DB$4),AV$6,OR(A73&gt;DA$4,B73&gt;DB$4),AV72*(1+Setup!C$103))</f>
        <v>0</v>
      </c>
      <c r="AW73" s="1">
        <f t="shared" si="75"/>
        <v>0</v>
      </c>
      <c r="AY73" s="1" cm="1">
        <f t="array" ref="AY73">_xlfn.IFS(OR(AND(A73&gt;=DA$6,B73&gt;=DB$6),A73&lt;DA$5),0,AND(A73=DA$5,YEAR(C73)&gt;=Lookups!D$89),VLOOKUP(A73,Lookups!B$94:F$102,3),AND(A73=DA$5,YEAR(C73)&lt;Lookups!D$89),VLOOKUP(A73,Lookups!B$94:F$102,2),AND(A73&gt;DA$5,YEAR(C73)=Lookups!D$89),(AY72*Lookups!D$90)*(1+Lookups!C$20),AND(A73&gt;DA$5,YEAR(C73)&lt;&gt;Lookups!D$89),AY72*(1+Lookups!C$20))</f>
        <v>0</v>
      </c>
      <c r="AZ73" s="1" cm="1">
        <f t="array" ref="AZ73">_xlfn.IFS(OR(ISBLANK(Setup!K$91),Setup!K$91=0,AND(A73&gt;=DA$6,B73&gt;=DB$6),B73&lt;DB$5),0,AND(B73=DB$5,YEAR(C73)&gt;=Lookups!D$89),VLOOKUP(B73,Lookups!B$94:F$102,5),AND(B73=DB$5,YEAR(C73)&lt;Lookups!D$89),VLOOKUP(B73,Lookups!B$94:F$102,4),AND(B73&gt;DB$5,YEAR(C73)=Lookups!D$89),(AZ72*Lookups!D$90)*(1+Lookups!C$20),AND(B73&gt;DB$5,YEAR(C73)&lt;&gt;Lookups!D$89),AZ72*(1+Lookups!C$20))</f>
        <v>0</v>
      </c>
      <c r="BA73" s="65">
        <f>IF(OR(AY73&gt;0,AZ73&gt;0),(AY73+AZ73)*Lookups!D$120,0)</f>
        <v>0</v>
      </c>
      <c r="BB73" s="1" cm="1">
        <f t="array" ref="BB73">_xlfn.IFS(AND(A73&lt;DA$4,B73&lt;DB$4),0,OR(_xlfn.XOR(A73&gt;DA$6,B73&gt;DB$6),_xlfn.XOR(A73&gt;=DA$4,B73&gt;=DB$4)),IF(AP73-SUM(AW73,AY73:AZ73)&gt;0,AP73-SUM(AW73,AY73:AZ73),0),AQ73-SUM(AW73,AY73:AZ73)&gt;0, AQ73-SUM(AW73,AY73:AZ73),AQ73-SUM(AW73,AY73:AZ73)&lt;=0,0)</f>
        <v>0</v>
      </c>
      <c r="BD73" s="1" cm="1">
        <f t="array" ref="BD73">_xlfn.IFS(AND(A73&gt;=DA$6,B73&gt;=DB$6),0,AND(A73&gt;=DA$6,B73&gt;=Lookups!C$35),D73/VLOOKUP(B73,Lookups!C$37:D$67,2),A73&lt;Lookups!$C$35,0,A73&gt;=Lookups!C$35,D73/VLOOKUP(A73,Lookups!C$37:D$67,2))</f>
        <v>0</v>
      </c>
      <c r="BE73" s="1" cm="1">
        <f t="array" ref="BE73">_xlfn.IFS(AND(A73&gt;=DA$6,B73&gt;=DB$6),0,AND(B73&gt;=DB$6,A73&gt;=Lookups!C$35),F73/VLOOKUP(A73,Lookups!C$37:D$67,2),B73&lt;Lookups!$C$35,0,B73&gt;=Lookups!C$35,F73/VLOOKUP(B73,Lookups!C$37:D$67,2))</f>
        <v>0</v>
      </c>
      <c r="BF73" s="1" cm="1">
        <f t="array" ref="BF73">_xlfn.IFS($BB73&lt;=0,0,AND(A73&gt;=DA$4,B73&gt;=DB$4,$BB73*I73&lt;(BD73+BE73)),0,AND(A73&gt;=DA$4,B73&gt;=DB$4,H73&gt;=(BB73*I73)-BD73-BE73),(BB73*I73)-BD73-BE73,AND(A73&gt;=DA$4,B73&gt;=DB$4,H73&lt;(BB73*I73)-BD73-BE73),H73,AND(A73&gt;=DA$4,$BB73*I73&lt;(BD73)),0,AND(A73&gt;=DA$4,H73&gt;=(BB73*I73)-BD73),(BB73*I73)-BD73,AND(A73&gt;=DA$4,H73&lt;(BB73*I73)-BD73),H73,AND(B73&gt;=DB$4,$BB73*I73&lt;(BE73)),0,AND(B73&gt;=DB$4,H73&gt;=(BB73*I73)-BE73),(BB73*I73)-BE73,AND(B73&gt;=DB$4,H73&lt;(BB73*I73)-BE73),H73)</f>
        <v>0</v>
      </c>
      <c r="BG73" s="1">
        <f t="shared" si="66"/>
        <v>0</v>
      </c>
      <c r="BH73" s="1" cm="1">
        <f t="array" ref="BH73">_xlfn.IFS(OR(D73=0,A73&lt;DA$4),0,AND(A73&gt;=DA$4,B73&gt;=DB$4,D73&lt;BD73+($BF73*(D73/$H73))+(-$BP73*(D73/$H73))),D73,AND(A73&gt;=DA$4,B73&gt;=DB$4,$BB73&gt;$BG73),BD73+($BF73*(D73/$H73))+(-$BP73*(D73/$H73)),AND(A73&gt;=DA$4,B73&gt;=DB$4,OR(A73&gt;DA$6, B73&gt;DB$6),$AP73-SUM($AW73,$AY73:$AZ73)&lt;0),BD73+($BF73*(D73/$H73))+(-$BP73*(D73/$H73))+(BP73*(D73/$H73)),AND(A73&gt;=DA$4,B73&gt;=DB$4,$AQ73-SUM($AW73,$AY73:$AZ73)&lt;0),BD73+($BF73*(D73/$H73))+(-$BP73*(D73/$H73))+(BP73*(D73/$H73)),AND(A73&gt;=DA$4,D73&lt;BD73+$BF73-$BP73),D73,AND(A73&gt;=DA$4,$AP73-SUM($AW73,$AY73:$AZ73)&lt;0),BD73+($BF73*(D73/$H73))+(-$BP73*(D73/$H73))+(BP73*(D73/$H73)),A73&gt;=DA$4,BD73+$BF73-$BP73)</f>
        <v>0</v>
      </c>
      <c r="BI73" s="1" cm="1">
        <f t="array" ref="BI73">_xlfn.IFS(OR(F73=0,B73&lt;DB$4),0,AND(A73&gt;=DA$4,B73&gt;=DB$4,F73&lt;BE73+($BF73*(F73/$H73))+(-$BP73*(F73/$H73))),F73,AND(A73&gt;=DA$4,B73&gt;=DB$4,$BB73&gt;$BG73),BE73+($BF73*(F73/$H73))+(-$BP73*(F73/$H73)),AND(A73&gt;=DA$4,B73&gt;=DB$4,OR(A73&gt;DA$6, B73&gt;DB$6),$AP73-SUM($AW73,$AY73:$AZ73)&lt;0),BE73+($BF73*(F73/$H73))+(-$BP73*(F73/$H73))+(BP73*(F73/$H73)),AND(A73&gt;=DA$4,B73&gt;=DB$4,$AQ73-SUM($AW73,$AY73:$AZ73)&lt;0),BE73+($BF73*(F73/$H73))+(-$BP73*(F73/$H73))+(BP73*(F73/$H73)),AND(B73&gt;=DB$4,F73&lt;BE73+$BF73-$BP73),F73,AND(B73&gt;=DB$4,$AP73-SUM($AW73,$AY73:$AZ73)&lt;0),BE73+($BF73*(F73/$H73))+(-$BP73*(F73/$H73))+(BP73*(F73/$H73)),B73&gt;=DB$4,BE73+$BF73-$BP73)</f>
        <v>0</v>
      </c>
      <c r="BJ73" s="64" cm="1">
        <f t="array" ref="BJ73">IF(AW73+BA73+BG73&gt;0, AW73+BA73+BG73-_xlfn.IFS(AND(A73&gt;=65,B73&gt;=65),VLOOKUP(Setup!I$4,Lookups!C$133:F$136,4),OR(A73&gt;=65,B73&gt;=65),VLOOKUP(Setup!I$4,Lookups!C$133:E$136,3),AND(A73&lt;65,B73&lt;65),VLOOKUP(Setup!I$4,Lookups!C$133:D$136,2)),0)</f>
        <v>0</v>
      </c>
      <c r="BK73" s="1" cm="1">
        <f t="array" ref="BK73">IF(BJ73&gt;0,_xlfn.IFS(Setup!I$4=Lookups!D$109,-_xlfn.IFS($BJ73&gt;=Lookups!D$157, Lookups!F$157+($BJ73-Lookups!D$157)*Lookups!G$157,$BJ73&gt;=Lookups!D$156, Lookups!F$156+($BJ73-Lookups!D$156)*Lookups!G$156,$BJ73&gt;=Lookups!D$155, Lookups!F$155+($BJ73-Lookups!D$155)*Lookups!G$155,$BJ73&gt;=Lookups!D$154, Lookups!F$154+($BJ73-Lookups!D$154)*Lookups!G$154,$BJ73&gt;=Lookups!D$153, Lookups!F$153+($BJ73-Lookups!D$153)*Lookups!G$153,$BJ73&gt;=Lookups!D$152, Lookups!F$152+($BJ73-Lookups!D$152)*Lookups!G$152,$BJ73&lt;Lookups!D$152,$BJ73*Lookups!G$151),Setup!I$4=Lookups!D$110,-_xlfn.IFS($BJ73&gt;=Lookups!D$167, Lookups!F$167+($BJ73-Lookups!D$167)*Lookups!G$167,$BJ73&gt;=Lookups!D$166, Lookups!F$166+($BJ73-Lookups!D$166)*Lookups!G$166,$BJ73&gt;=Lookups!D$165, Lookups!F$165+($BJ73-Lookups!D$165)*Lookups!G$165,$BJ73&gt;=Lookups!D$164, Lookups!F$164+($BJ73-Lookups!D$164)*Lookups!G$164,$BJ73&gt;=Lookups!D$163, Lookups!F$163+($BJ73-Lookups!D$163)*Lookups!G$163,$BJ73&gt;=Lookups!D$162, Lookups!F$162+($BJ73-Lookups!D$162)*Lookups!G$162,$BJ73&lt;Lookups!D$162,$BJ73*Lookups!G$161),Setup!I$4=Lookups!D$111,-_xlfn.IFS($BJ73&gt;=Lookups!D$177, Lookups!F$177+($BJ73-Lookups!D$177)*Lookups!G$177,$BJ73&gt;=Lookups!D$176, Lookups!F$176+($BJ73-Lookups!D$176)*Lookups!G$176,$BJ73&gt;=Lookups!D$175, Lookups!F$175+($BJ73-Lookups!D$175)*Lookups!G$175,$BJ73&gt;=Lookups!D$174, Lookups!F$174+($BJ73-Lookups!D$174)*Lookups!G$174,$BJ73&gt;=Lookups!D$173, Lookups!F$173+($BJ73-Lookups!D$173)*Lookups!G$173,$BJ73&gt;=Lookups!D$172, Lookups!F$172+($BJ73-Lookups!D$172)*Lookups!G$172,$BJ73&lt;Lookups!D$172,$BJ73*Lookups!G$171), Setup!I$4=Lookups!D$112,-_xlfn.IFS($BJ73&gt;=Lookups!D$187, Lookups!F$187+($BJ73-Lookups!D$187)*Lookups!G$187,$BJ73&gt;=Lookups!D$186, Lookups!F$186+($BJ73-Lookups!D$186)*Lookups!G$186,$BJ73&gt;=Lookups!D$185, Lookups!F$185+($BJ73-Lookups!D$185)*Lookups!G$185,$BJ73&gt;=Lookups!D$184, Lookups!F$184+($BJ73-Lookups!D$184)*Lookups!G$184,$BJ73&gt;=Lookups!D$183, Lookups!F$183+($BJ73-Lookups!D$183)*Lookups!G$183,$BJ73&gt;=Lookups!D$182, Lookups!F$182+($BJ73-Lookups!D$182)*Lookups!G$182,$BJ73&lt;Lookups!D$182,$BJ73*Lookups!G$181)),0)</f>
        <v>0</v>
      </c>
      <c r="BL73" s="18">
        <f t="shared" si="76"/>
        <v>0</v>
      </c>
      <c r="BM73" s="134">
        <f t="shared" si="67"/>
        <v>0</v>
      </c>
      <c r="BN73" s="134" cm="1">
        <f t="array" aca="1" ref="BN73" ca="1">INDIRECT(Setup!I$6&amp;"!"&amp;"A"&amp;ROW())</f>
        <v>0</v>
      </c>
      <c r="BO73" s="134">
        <f t="shared" si="84"/>
        <v>0</v>
      </c>
      <c r="BP73" s="1">
        <f t="shared" si="77"/>
        <v>0</v>
      </c>
      <c r="BQ73" s="1">
        <f t="shared" si="85"/>
        <v>0</v>
      </c>
      <c r="BS73" s="1">
        <f t="shared" si="86"/>
        <v>0</v>
      </c>
      <c r="BT73" s="1" cm="1">
        <f t="array" ref="BT73">-IF(BS73&gt;0,_xlfn.IFS((AW73+BA73+BG73+BS73)&gt;=VLOOKUP(Setup!I$4,Lookups!C$210:E$213,3),BS73*Lookups!D$203,(AW73+BA73+BG73+BS73)&gt;=VLOOKUP(Setup!I$4,Lookups!C$210:E$213,2),BS73*Lookups!D$197,(AW73+BA73+BG73+BS73)&lt;VLOOKUP(Setup!I$4,Lookups!C$210:E$213,2),0),0)</f>
        <v>0</v>
      </c>
      <c r="BU73" s="18">
        <f t="shared" si="87"/>
        <v>0</v>
      </c>
      <c r="BV73" s="1">
        <f t="shared" si="88"/>
        <v>0</v>
      </c>
      <c r="BW73" s="1" cm="1">
        <f t="array" aca="1" ref="BW73" ca="1">INDIRECT(Setup!I$6&amp;"!"&amp;"A"&amp;ROW()+100)</f>
        <v>0</v>
      </c>
      <c r="BX73" s="1">
        <f t="shared" ca="1" si="78"/>
        <v>0</v>
      </c>
      <c r="BY73" s="1">
        <f t="shared" ca="1" si="79"/>
        <v>0</v>
      </c>
      <c r="CA73" s="1">
        <f t="shared" ref="CA73:CA92" si="91">IF(AG73=0,0,IF(BQ73&gt;0,IF(AG73&gt;=BQ73*(AG73/(AG73+Y73)),BQ73*(AG73/(AG73+Y73)),AG73),0))</f>
        <v>0</v>
      </c>
      <c r="CC73" s="1" cm="1">
        <f t="array" ref="CC73">_xlfn.IFS(AND(A73&lt;$DA$4,B73&lt;$DB$4),0,AND(AND(A73&gt;=$DA$4,B73&gt;=$DB$4),AND(A73&lt;=$DA$6,B73&lt;=$DB$6),AND(BH73=0,BI73=0)),SUM(AW73,AY73:AZ73,BD73:BF73,BP73,BS73,CA73)-AQ73,AND(AND(A73&gt;=$DA$4,B73&gt;=$DB$4),AND(A73&lt;=$DA$6,B73&lt;=$DB$6)),SUM(AW73,AY73:AZ73,BD73:BF73,BS73,CA73)-AQ73,AND(OR(A73&gt;=$DA$4,B73&gt;=$DB$4),AND(BH73=0,BI73=0)),SUM(AW73,AY73:AZ73,BD73:BF73,BP73,BS73,CA73)-AP73,OR(A73&gt;=$DA$4,B73&gt;=$DB$4),SUM(AW73,AY73:AZ73,BD73:BF73,BS73,CA73)-AP73)</f>
        <v>0</v>
      </c>
      <c r="CD73" s="142" t="str">
        <f t="shared" si="89"/>
        <v/>
      </c>
    </row>
    <row r="74" spans="1:82" x14ac:dyDescent="0.3">
      <c r="A74" s="354">
        <f t="shared" si="68"/>
        <v>67</v>
      </c>
      <c r="B74" s="354">
        <f t="shared" si="69"/>
        <v>67</v>
      </c>
      <c r="C74" s="359">
        <f t="shared" si="90"/>
        <v>24473</v>
      </c>
      <c r="D74" s="326" cm="1">
        <f t="array" ref="D74">_xlfn.IFS(AND(A74&gt;DA$6,B74&gt;DB$6),0,AND(A74&gt;DA$3,A74&lt;=DA$4),D73*(1+DH$1),OR(A74&gt;DA$6,A74&gt;DA$4),(D73-BH73)*(1+DH$2),A74&lt;=DA$4,(D73*(1+DH$1))+(D$4))</f>
        <v>0</v>
      </c>
      <c r="E74" s="375"/>
      <c r="F74" s="326" cm="1">
        <f t="array" ref="F74">_xlfn.IFS(AND(A74&gt;DA$6,B74&gt;DB$6),0,AND(B74&gt;DB$3,B74&lt;=DB$4),F73*(1+DH$1),OR(B74&gt;DB$6,B74&gt;DB$4),(F73-BI73)*(1+DH$2),B74&lt;=DB$4,(F73*(1+DH$1))+(F$4))</f>
        <v>0</v>
      </c>
      <c r="G74" s="375"/>
      <c r="H74" s="1">
        <f t="shared" si="65"/>
        <v>0</v>
      </c>
      <c r="I74" s="2">
        <f t="shared" si="70"/>
        <v>0</v>
      </c>
      <c r="J74" s="14">
        <f t="shared" si="64"/>
        <v>0</v>
      </c>
      <c r="L74" s="402" cm="1">
        <f t="array" ref="L74">_xlfn.IFS(AND(A74&gt;DA$6,B74&gt;DB$6),0,A74&lt;DA$6,0,A74=DA$6,L$4,AND(A74&gt;DA$6,B74&lt;=DB$4),L73*(1+DH$1),AND(A74&gt;DA$6,B74&gt;DB$4),IF(Y73=0,0,(L73-((L73/Y73)*BY73))*(1+DH$2)))</f>
        <v>0</v>
      </c>
      <c r="M74" s="402" cm="1">
        <f t="array" ref="M74">_xlfn.IFS(AND(A74&gt;DA$6,B74&gt;DB$6),0,B74&lt;DB$6,0,B74=DB$6,M$4,AND(B74&gt;DB$6,A74&lt;=DA$4),M73*(1+DH$1),AND(A74&gt;DA$4,B74&gt;DB$6),IF(Y73=0,0,(M73-((M73/Y73)*BY73))*(1+DH$2)))</f>
        <v>0</v>
      </c>
      <c r="N74" s="327"/>
      <c r="O74" s="327" cm="1">
        <f t="array" ref="O74">_xlfn.IFS(OR(ISBLANK(Setup!C$63),Setup!C$63&gt;YEAR(C74),AND(A74&gt;DA$6,B74&gt;DB$6),ISBLANK(Y73)),0,Setup!C$63=YEAR(C74),Setup!C$62,AND(OR(A74&lt;=DA$4,B74&lt;=DB$4),Setup!C$63&lt;YEAR(C74)),O73*(1+DH$1),AND(A74&gt;DA$4,B74&gt;DB$4,Setup!C$63&lt;YEAR(C74)),IF(Y73=0,0,(O73-((O73/Y73)*BY73))*(1+DH$2)))</f>
        <v>0</v>
      </c>
      <c r="P74" s="327" cm="1">
        <f t="array" ref="P74">_xlfn.IFS(OR(ISBLANK(Setup!C$67),Setup!C$67&gt;YEAR(C74),AND(A74&gt;DA$6,B74&gt;DB$6)),0,Setup!C$67=YEAR(C74),Setup!C$66,AND(OR(A74&lt;=DA$4,B74&lt;=DB$4),Setup!C$67&lt;YEAR(C74)),P73*(1+DH$1),AND(A74&gt;DA$4,B74&gt;DB$4,Setup!C$67&lt;YEAR(C74)),IF(Y73=0,0,(P73-((P73/Y73)*BY73))*(1+DH$2)))</f>
        <v>0</v>
      </c>
      <c r="Q74" s="327" cm="1">
        <f t="array" ref="Q74">_xlfn.IFS(OR(ISBLANK(Setup!C$71),Setup!C$71&gt;YEAR(C74),AND(A74&gt;DA$6,B74&gt;DB$6)),0,Setup!C$71=YEAR(C74),Setup!C$70,AND(OR(A74&lt;=DA$4,B74&lt;=DB$4),Setup!C$71&lt;YEAR(C74)),Q73*(1+DH$1),AND(A74&gt;DA$4,B74&gt;DB$4,Setup!C$71&lt;YEAR(C74)),IF(Y73=0,0,(Q73-((Q73/Y73)*BY73))*(1+DH$2)))</f>
        <v>0</v>
      </c>
      <c r="R74" s="327" cm="1">
        <f t="array" ref="R74">_xlfn.IFS(OR(ISBLANK(Setup!C$75),Setup!C$75&gt;YEAR(C74),AND(A74&gt;DA$6,B74&gt;DB$6)),0,Setup!C$75=YEAR(C74),Setup!C$74,AND(OR(A74&lt;=DA$4,B74&lt;=DB$4),Setup!C$75&lt;YEAR(C74)),R73*(1+DH$1),AND(A74&gt;DA$4,B74&gt;DB$4,Setup!C$75&lt;YEAR(C74)),IF(Y73=0,0,(R73-((R73/Y73)*BY73))*(1+DH$2)))</f>
        <v>0</v>
      </c>
      <c r="S74" s="327"/>
      <c r="T74" s="326" cm="1">
        <f t="array" ref="T74">_xlfn.IFS(AND($A74&gt;$DA$6,$B74&gt;$DB$6),0,AND($W$2=$DA$2,$A74&gt;$DA$4),IF($Y73=0,0,(T73-((T73/$Y73)*$BY73))*(1+$DH$2)),AND($W$2=$DB$2,$B74&gt;$DB$4),IF($Y73=0,0,(T73-((T73/$Y73)*$BY73))*(1+$DH$2)),AND($W$2=$DA$2,OR($A74&gt;$DA$3,$A74&gt;$DA$6)),(T73*(1+$DH$1)),AND($W$2=$DB$2,OR($B74&gt;$DB$3,$B74&gt;$DB$6)),(T73*(1+$DH$1)),AND($W$2=$DA$2,$A74&lt;=$DA$3,$A74&lt;=$DA$4,$A74&lt;=$DA$5),(T73*(1+$DH$1))+(T$4),AND($W$2=$DB$2,$B74&lt;=$DB$3,$B74&lt;=$DB$4,$B74&lt;=$DB$5),(T73*(1+$DH$1))+(T$4))</f>
        <v>0</v>
      </c>
      <c r="U74" s="326" cm="1">
        <f t="array" ref="U74">_xlfn.IFS(AND($A74&gt;$DA$6,$B74&gt;$DB$6),0,AND($W$2=$DA$2,$A74&gt;$DA$4),IF($Y73=0,0,(U73-((U73/$Y73)*$BY73))*(1+$DH$2)),AND($W$2=$DB$2,$B74&gt;$DB$4),IF($Y73=0,0,(U73-((U73/$Y73)*$BY73))*(1+$DH$2)),AND($W$2=$DA$2,OR($A74&gt;$DA$3,$A74&gt;$DA$6)),(U73*(1+$DH$1)),AND($W$2=$DB$2,OR($B74&gt;$DB$3,$B74&gt;$DB$6)),(U73*(1+$DH$1)),AND($W$2=$DA$2,$A74&lt;=$DA$3,$A74&lt;=$DA$4,$A74&lt;=$DA$5),(U73*(1+$DH$1))+(U$4),AND($W$2=$DB$2,$B74&lt;=$DB$3,$B74&lt;=$DB$4,$B74&lt;=$DB$5),(U73*(1+$DH$1))+(U$4))</f>
        <v>0</v>
      </c>
      <c r="V74" s="326" cm="1">
        <f t="array" ref="V74">_xlfn.IFS(AND($A74&gt;$DA$6,$B74&gt;$DB$6),0,AND($W$2=$DA$2,$A74&gt;$DA$4),IF($Y73=0,0,(V73-((V73/$Y73)*$BY73))*(1+$DH$2)),AND($W$2=$DB$2,$B74&gt;$DB$4),IF($Y73=0,0,(V73-((V73/$Y73)*$BY73))*(1+$DH$2)),AND($W$2=$DA$2,OR($A74&gt;$DA$3,$A74&gt;$DA$6)),(V73*(1+$DH$1)),AND($W$2=$DB$2,OR($B74&gt;$DB$3,$B74&gt;$DB$6)),(V73*(1+$DH$1)),AND($W$2=$DA$2,$A74&lt;=$DA$3,$A74&lt;=$DA$4,$A74&lt;=$DA$5),(V73*(1+$DH$1))+(V$4),AND($W$2=$DB$2,$B74&lt;=$DB$3,$B74&lt;=$DB$4,$B74&lt;=$DB$5),(V73*(1+$DH$1))+(V$4))</f>
        <v>0</v>
      </c>
      <c r="W74" s="326" cm="1">
        <f t="array" ref="W74">_xlfn.IFS(AND($A74&gt;$DA$6,$B74&gt;$DB$6),0,AND($W$2=$DA$2,$A74&gt;$DA$4),IF($Y73=0,0,(W73-((W73/$Y73)*$BY73))*(1+$DH$2)),AND($W$2=$DB$2,$B74&gt;$DB$4),IF($Y73=0,0,(W73-((W73/$Y73)*$BY73))*(1+$DH$2)),AND($W$2=$DA$2,OR($A74&gt;$DA$3,$A74&gt;$DA$6)),(W73*(1+$DH$1)),AND($W$2=$DB$2,OR($B74&gt;$DB$3,$B74&gt;$DB$6)),(W73*(1+$DH$1)),AND($W$2=$DA$2,$A74&lt;=$DA$3,$A74&lt;=$DA$4,$A74&lt;=$DA$5),(W73*(1+$DH$1))+(W$4),AND($W$2=$DB$2,$B74&lt;=$DB$3,$B74&lt;=$DB$4,$B74&lt;=$DB$5),(W73*(1+$DH$1))+(W$4))</f>
        <v>0</v>
      </c>
      <c r="Y74" s="1">
        <f t="shared" si="80"/>
        <v>0</v>
      </c>
      <c r="Z74" s="2">
        <f t="shared" si="71"/>
        <v>0</v>
      </c>
      <c r="AA74" s="375"/>
      <c r="AC74" s="326" cm="1">
        <f t="array" ref="AC74">_xlfn.IFS(AND(A74&gt;DA$6,B74&gt;DB$6),0,AND(A74&gt;DA$4,B74&gt;DB$4),IF(AG73=0,0,(AC73-((AC73/AG73)*CA73))*(1+DH$2)),OR(A74&gt;DA$3,A74&gt;DA$6),AC73*(1+DH$1),A74&gt;DA$4,(AC73-CA73)*(1+DH$2),AND(A74&lt;=DA$3,A74&lt;=DA$4,A74&lt;=DA$6),(AC73*(1+DH$1))+(AC$4))</f>
        <v>0</v>
      </c>
      <c r="AD74" s="375"/>
      <c r="AE74" s="326" cm="1">
        <f t="array" ref="AE74">_xlfn.IFS(AND(A74&gt;DA$6,B74&gt;DB$6),0,AND(A74&gt;DA$4,B74&gt;DB$4),IF(AG73=0,0,(AE73-((AE73/AG73)*CA73))*(1+DH$2)),OR(B74&gt;DB$3,B74&gt;DB$6),AE73*(1+DH$1),B74&gt;DB$4,(AE73-CA73)*(1+DH$2),AND(B74&lt;=DB$3,B74&lt;=DB$4,B74&lt;=DB$6),(AE73*(1+DH$1))+(AE$4))</f>
        <v>0</v>
      </c>
      <c r="AF74" s="375"/>
      <c r="AG74" s="1">
        <f t="shared" ref="AG74:AG92" si="92">SUM(AC74,AE74)</f>
        <v>0</v>
      </c>
      <c r="AH74" s="2">
        <f t="shared" si="81"/>
        <v>0</v>
      </c>
      <c r="AI74" s="14">
        <f t="shared" si="72"/>
        <v>0</v>
      </c>
      <c r="AK74" s="1">
        <f t="shared" si="82"/>
        <v>0</v>
      </c>
      <c r="AL74" s="14">
        <f t="shared" si="73"/>
        <v>0</v>
      </c>
      <c r="AM74" s="14" t="str">
        <f t="shared" si="83"/>
        <v/>
      </c>
      <c r="AO74" s="15">
        <f t="shared" si="74"/>
        <v>0</v>
      </c>
      <c r="AP74" s="1">
        <f>IF(AND(B74&gt;=$DB$6,A74&gt;=$DA$6),0,AP73*(1+Lookups!C$12))</f>
        <v>0</v>
      </c>
      <c r="AQ74" s="1">
        <f>IF(AND(B74&gt;=$DB$6,A74&gt;=$DA$6),0,AQ73*(1+Lookups!C$12))</f>
        <v>0</v>
      </c>
      <c r="AS74" s="1" cm="1">
        <f t="array" ref="AS74">_xlfn.IFS(OR(AS$6="",AND(A74&gt;=DA$6,B74&gt;=DB$6),AND(A74&lt;DA$4,B74&lt;DB$4)),0,AND(A74=DA$4,DA$4&lt;=DB$4),AS$6,AND(B74=DB$4,DA$4&gt;=DB$4),AS$6,OR(A74&gt;DA$4,B74&gt;DB$4),AS73*(1+Setup!C$103))</f>
        <v>0</v>
      </c>
      <c r="AT74" s="1" cm="1">
        <f t="array" ref="AT74">_xlfn.IFS(OR(AT$6="",AND(A74&gt;=DA$6,B74&gt;=DB$6),AND(A74&lt;DA$4,B74&lt;DB$4)),0,AND(A74=DA$4,DA$4&lt;=DB$4),AT$6,AND(B74=DB$4,DA$4&gt;=DB$4),AT$6,OR(A74&gt;DA$4,B74&gt;DB$4),AT73*(1+Setup!C$103))</f>
        <v>0</v>
      </c>
      <c r="AU74" s="1" cm="1">
        <f t="array" ref="AU74">_xlfn.IFS(OR(AU$6="",AND(A74&gt;=DA$6,B74&gt;=DB$6),AND(A74&lt;DA$4,B74&lt;DB$4)),0,AND(A74=DA$4,DA$4&lt;=DB$4),AU$6,AND(B74=DB$4,DA$4&gt;=DB$4),AU$6,OR(A74&gt;DA$4,B74&gt;DB$4),AU73*(1+Setup!C$103))</f>
        <v>0</v>
      </c>
      <c r="AV74" s="1" cm="1">
        <f t="array" ref="AV74">_xlfn.IFS(OR(AV$6="",AND(A74&gt;=DA$6,B74&gt;=DB$6),AND(A74&lt;DA$4,B74&lt;DB$4)),0,AND(A74=DA$4,DA$4&lt;=DB$4),AV$6,AND(B74=DB$4,DA$4&gt;=DB$4),AV$6,OR(A74&gt;DA$4,B74&gt;DB$4),AV73*(1+Setup!C$103))</f>
        <v>0</v>
      </c>
      <c r="AW74" s="1">
        <f t="shared" si="75"/>
        <v>0</v>
      </c>
      <c r="AY74" s="1" cm="1">
        <f t="array" ref="AY74">_xlfn.IFS(OR(AND(A74&gt;=DA$6,B74&gt;=DB$6),A74&lt;DA$5),0,AND(A74=DA$5,YEAR(C74)&gt;=Lookups!D$89),VLOOKUP(A74,Lookups!B$94:F$102,3),AND(A74=DA$5,YEAR(C74)&lt;Lookups!D$89),VLOOKUP(A74,Lookups!B$94:F$102,2),AND(A74&gt;DA$5,YEAR(C74)=Lookups!D$89),(AY73*Lookups!D$90)*(1+Lookups!C$20),AND(A74&gt;DA$5,YEAR(C74)&lt;&gt;Lookups!D$89),AY73*(1+Lookups!C$20))</f>
        <v>0</v>
      </c>
      <c r="AZ74" s="1" cm="1">
        <f t="array" ref="AZ74">_xlfn.IFS(OR(ISBLANK(Setup!K$91),Setup!K$91=0,AND(A74&gt;=DA$6,B74&gt;=DB$6),B74&lt;DB$5),0,AND(B74=DB$5,YEAR(C74)&gt;=Lookups!D$89),VLOOKUP(B74,Lookups!B$94:F$102,5),AND(B74=DB$5,YEAR(C74)&lt;Lookups!D$89),VLOOKUP(B74,Lookups!B$94:F$102,4),AND(B74&gt;DB$5,YEAR(C74)=Lookups!D$89),(AZ73*Lookups!D$90)*(1+Lookups!C$20),AND(B74&gt;DB$5,YEAR(C74)&lt;&gt;Lookups!D$89),AZ73*(1+Lookups!C$20))</f>
        <v>0</v>
      </c>
      <c r="BA74" s="65">
        <f>IF(OR(AY74&gt;0,AZ74&gt;0),(AY74+AZ74)*Lookups!D$120,0)</f>
        <v>0</v>
      </c>
      <c r="BB74" s="1" cm="1">
        <f t="array" ref="BB74">_xlfn.IFS(AND(A74&lt;DA$4,B74&lt;DB$4),0,OR(_xlfn.XOR(A74&gt;DA$6,B74&gt;DB$6),_xlfn.XOR(A74&gt;=DA$4,B74&gt;=DB$4)),IF(AP74-SUM(AW74,AY74:AZ74)&gt;0,AP74-SUM(AW74,AY74:AZ74),0),AQ74-SUM(AW74,AY74:AZ74)&gt;0, AQ74-SUM(AW74,AY74:AZ74),AQ74-SUM(AW74,AY74:AZ74)&lt;=0,0)</f>
        <v>0</v>
      </c>
      <c r="BD74" s="1" cm="1">
        <f t="array" ref="BD74">_xlfn.IFS(AND(A74&gt;=DA$6,B74&gt;=DB$6),0,AND(A74&gt;=DA$6,B74&gt;=Lookups!C$35),D74/VLOOKUP(B74,Lookups!C$37:D$67,2),A74&lt;Lookups!$C$35,0,A74&gt;=Lookups!C$35,D74/VLOOKUP(A74,Lookups!C$37:D$67,2))</f>
        <v>0</v>
      </c>
      <c r="BE74" s="1" cm="1">
        <f t="array" ref="BE74">_xlfn.IFS(AND(A74&gt;=DA$6,B74&gt;=DB$6),0,AND(B74&gt;=DB$6,A74&gt;=Lookups!C$35),F74/VLOOKUP(A74,Lookups!C$37:D$67,2),B74&lt;Lookups!$C$35,0,B74&gt;=Lookups!C$35,F74/VLOOKUP(B74,Lookups!C$37:D$67,2))</f>
        <v>0</v>
      </c>
      <c r="BF74" s="1" cm="1">
        <f t="array" ref="BF74">_xlfn.IFS($BB74&lt;=0,0,AND(A74&gt;=DA$4,B74&gt;=DB$4,$BB74*I74&lt;(BD74+BE74)),0,AND(A74&gt;=DA$4,B74&gt;=DB$4,H74&gt;=(BB74*I74)-BD74-BE74),(BB74*I74)-BD74-BE74,AND(A74&gt;=DA$4,B74&gt;=DB$4,H74&lt;(BB74*I74)-BD74-BE74),H74,AND(A74&gt;=DA$4,$BB74*I74&lt;(BD74)),0,AND(A74&gt;=DA$4,H74&gt;=(BB74*I74)-BD74),(BB74*I74)-BD74,AND(A74&gt;=DA$4,H74&lt;(BB74*I74)-BD74),H74,AND(B74&gt;=DB$4,$BB74*I74&lt;(BE74)),0,AND(B74&gt;=DB$4,H74&gt;=(BB74*I74)-BE74),(BB74*I74)-BE74,AND(B74&gt;=DB$4,H74&lt;(BB74*I74)-BE74),H74)</f>
        <v>0</v>
      </c>
      <c r="BG74" s="1">
        <f t="shared" si="66"/>
        <v>0</v>
      </c>
      <c r="BH74" s="1" cm="1">
        <f t="array" ref="BH74">_xlfn.IFS(OR(D74=0,A74&lt;DA$4),0,AND(A74&gt;=DA$4,B74&gt;=DB$4,D74&lt;BD74+($BF74*(D74/$H74))+(-$BP74*(D74/$H74))),D74,AND(A74&gt;=DA$4,B74&gt;=DB$4,$BB74&gt;$BG74),BD74+($BF74*(D74/$H74))+(-$BP74*(D74/$H74)),AND(A74&gt;=DA$4,B74&gt;=DB$4,OR(A74&gt;DA$6, B74&gt;DB$6),$AP74-SUM($AW74,$AY74:$AZ74)&lt;0),BD74+($BF74*(D74/$H74))+(-$BP74*(D74/$H74))+(BP74*(D74/$H74)),AND(A74&gt;=DA$4,B74&gt;=DB$4,$AQ74-SUM($AW74,$AY74:$AZ74)&lt;0),BD74+($BF74*(D74/$H74))+(-$BP74*(D74/$H74))+(BP74*(D74/$H74)),AND(A74&gt;=DA$4,D74&lt;BD74+$BF74-$BP74),D74,AND(A74&gt;=DA$4,$AP74-SUM($AW74,$AY74:$AZ74)&lt;0),BD74+($BF74*(D74/$H74))+(-$BP74*(D74/$H74))+(BP74*(D74/$H74)),A74&gt;=DA$4,BD74+$BF74-$BP74)</f>
        <v>0</v>
      </c>
      <c r="BI74" s="1" cm="1">
        <f t="array" ref="BI74">_xlfn.IFS(OR(F74=0,B74&lt;DB$4),0,AND(A74&gt;=DA$4,B74&gt;=DB$4,F74&lt;BE74+($BF74*(F74/$H74))+(-$BP74*(F74/$H74))),F74,AND(A74&gt;=DA$4,B74&gt;=DB$4,$BB74&gt;$BG74),BE74+($BF74*(F74/$H74))+(-$BP74*(F74/$H74)),AND(A74&gt;=DA$4,B74&gt;=DB$4,OR(A74&gt;DA$6, B74&gt;DB$6),$AP74-SUM($AW74,$AY74:$AZ74)&lt;0),BE74+($BF74*(F74/$H74))+(-$BP74*(F74/$H74))+(BP74*(F74/$H74)),AND(A74&gt;=DA$4,B74&gt;=DB$4,$AQ74-SUM($AW74,$AY74:$AZ74)&lt;0),BE74+($BF74*(F74/$H74))+(-$BP74*(F74/$H74))+(BP74*(F74/$H74)),AND(B74&gt;=DB$4,F74&lt;BE74+$BF74-$BP74),F74,AND(B74&gt;=DB$4,$AP74-SUM($AW74,$AY74:$AZ74)&lt;0),BE74+($BF74*(F74/$H74))+(-$BP74*(F74/$H74))+(BP74*(F74/$H74)),B74&gt;=DB$4,BE74+$BF74-$BP74)</f>
        <v>0</v>
      </c>
      <c r="BJ74" s="64" cm="1">
        <f t="array" ref="BJ74">IF(AW74+BA74+BG74&gt;0, AW74+BA74+BG74-_xlfn.IFS(AND(A74&gt;=65,B74&gt;=65),VLOOKUP(Setup!I$4,Lookups!C$133:F$136,4),OR(A74&gt;=65,B74&gt;=65),VLOOKUP(Setup!I$4,Lookups!C$133:E$136,3),AND(A74&lt;65,B74&lt;65),VLOOKUP(Setup!I$4,Lookups!C$133:D$136,2)),0)</f>
        <v>0</v>
      </c>
      <c r="BK74" s="1" cm="1">
        <f t="array" ref="BK74">IF(BJ74&gt;0,_xlfn.IFS(Setup!I$4=Lookups!D$109,-_xlfn.IFS($BJ74&gt;=Lookups!D$157, Lookups!F$157+($BJ74-Lookups!D$157)*Lookups!G$157,$BJ74&gt;=Lookups!D$156, Lookups!F$156+($BJ74-Lookups!D$156)*Lookups!G$156,$BJ74&gt;=Lookups!D$155, Lookups!F$155+($BJ74-Lookups!D$155)*Lookups!G$155,$BJ74&gt;=Lookups!D$154, Lookups!F$154+($BJ74-Lookups!D$154)*Lookups!G$154,$BJ74&gt;=Lookups!D$153, Lookups!F$153+($BJ74-Lookups!D$153)*Lookups!G$153,$BJ74&gt;=Lookups!D$152, Lookups!F$152+($BJ74-Lookups!D$152)*Lookups!G$152,$BJ74&lt;Lookups!D$152,$BJ74*Lookups!G$151),Setup!I$4=Lookups!D$110,-_xlfn.IFS($BJ74&gt;=Lookups!D$167, Lookups!F$167+($BJ74-Lookups!D$167)*Lookups!G$167,$BJ74&gt;=Lookups!D$166, Lookups!F$166+($BJ74-Lookups!D$166)*Lookups!G$166,$BJ74&gt;=Lookups!D$165, Lookups!F$165+($BJ74-Lookups!D$165)*Lookups!G$165,$BJ74&gt;=Lookups!D$164, Lookups!F$164+($BJ74-Lookups!D$164)*Lookups!G$164,$BJ74&gt;=Lookups!D$163, Lookups!F$163+($BJ74-Lookups!D$163)*Lookups!G$163,$BJ74&gt;=Lookups!D$162, Lookups!F$162+($BJ74-Lookups!D$162)*Lookups!G$162,$BJ74&lt;Lookups!D$162,$BJ74*Lookups!G$161),Setup!I$4=Lookups!D$111,-_xlfn.IFS($BJ74&gt;=Lookups!D$177, Lookups!F$177+($BJ74-Lookups!D$177)*Lookups!G$177,$BJ74&gt;=Lookups!D$176, Lookups!F$176+($BJ74-Lookups!D$176)*Lookups!G$176,$BJ74&gt;=Lookups!D$175, Lookups!F$175+($BJ74-Lookups!D$175)*Lookups!G$175,$BJ74&gt;=Lookups!D$174, Lookups!F$174+($BJ74-Lookups!D$174)*Lookups!G$174,$BJ74&gt;=Lookups!D$173, Lookups!F$173+($BJ74-Lookups!D$173)*Lookups!G$173,$BJ74&gt;=Lookups!D$172, Lookups!F$172+($BJ74-Lookups!D$172)*Lookups!G$172,$BJ74&lt;Lookups!D$172,$BJ74*Lookups!G$171), Setup!I$4=Lookups!D$112,-_xlfn.IFS($BJ74&gt;=Lookups!D$187, Lookups!F$187+($BJ74-Lookups!D$187)*Lookups!G$187,$BJ74&gt;=Lookups!D$186, Lookups!F$186+($BJ74-Lookups!D$186)*Lookups!G$186,$BJ74&gt;=Lookups!D$185, Lookups!F$185+($BJ74-Lookups!D$185)*Lookups!G$185,$BJ74&gt;=Lookups!D$184, Lookups!F$184+($BJ74-Lookups!D$184)*Lookups!G$184,$BJ74&gt;=Lookups!D$183, Lookups!F$183+($BJ74-Lookups!D$183)*Lookups!G$183,$BJ74&gt;=Lookups!D$182, Lookups!F$182+($BJ74-Lookups!D$182)*Lookups!G$182,$BJ74&lt;Lookups!D$182,$BJ74*Lookups!G$181)),0)</f>
        <v>0</v>
      </c>
      <c r="BL74" s="18">
        <f t="shared" si="76"/>
        <v>0</v>
      </c>
      <c r="BM74" s="134">
        <f t="shared" si="67"/>
        <v>0</v>
      </c>
      <c r="BN74" s="134" cm="1">
        <f t="array" aca="1" ref="BN74" ca="1">INDIRECT(Setup!I$6&amp;"!"&amp;"A"&amp;ROW())</f>
        <v>0</v>
      </c>
      <c r="BO74" s="134">
        <f t="shared" si="84"/>
        <v>0</v>
      </c>
      <c r="BP74" s="1">
        <f t="shared" si="77"/>
        <v>0</v>
      </c>
      <c r="BQ74" s="1">
        <f t="shared" si="85"/>
        <v>0</v>
      </c>
      <c r="BS74" s="1">
        <f t="shared" si="86"/>
        <v>0</v>
      </c>
      <c r="BT74" s="1" cm="1">
        <f t="array" ref="BT74">-IF(BS74&gt;0,_xlfn.IFS((AW74+BA74+BG74+BS74)&gt;=VLOOKUP(Setup!I$4,Lookups!C$210:E$213,3),BS74*Lookups!D$203,(AW74+BA74+BG74+BS74)&gt;=VLOOKUP(Setup!I$4,Lookups!C$210:E$213,2),BS74*Lookups!D$197,(AW74+BA74+BG74+BS74)&lt;VLOOKUP(Setup!I$4,Lookups!C$210:E$213,2),0),0)</f>
        <v>0</v>
      </c>
      <c r="BU74" s="18">
        <f t="shared" si="87"/>
        <v>0</v>
      </c>
      <c r="BV74" s="1">
        <f t="shared" si="88"/>
        <v>0</v>
      </c>
      <c r="BW74" s="1" cm="1">
        <f t="array" aca="1" ref="BW74" ca="1">INDIRECT(Setup!I$6&amp;"!"&amp;"A"&amp;ROW()+100)</f>
        <v>0</v>
      </c>
      <c r="BX74" s="1">
        <f t="shared" ca="1" si="78"/>
        <v>0</v>
      </c>
      <c r="BY74" s="1">
        <f t="shared" ca="1" si="79"/>
        <v>0</v>
      </c>
      <c r="CA74" s="1">
        <f t="shared" si="91"/>
        <v>0</v>
      </c>
      <c r="CC74" s="1" cm="1">
        <f t="array" ref="CC74">_xlfn.IFS(AND(A74&lt;$DA$4,B74&lt;$DB$4),0,AND(AND(A74&gt;=$DA$4,B74&gt;=$DB$4),AND(A74&lt;=$DA$6,B74&lt;=$DB$6),AND(BH74=0,BI74=0)),SUM(AW74,AY74:AZ74,BD74:BF74,BP74,BS74,CA74)-AQ74,AND(AND(A74&gt;=$DA$4,B74&gt;=$DB$4),AND(A74&lt;=$DA$6,B74&lt;=$DB$6)),SUM(AW74,AY74:AZ74,BD74:BF74,BS74,CA74)-AQ74,AND(OR(A74&gt;=$DA$4,B74&gt;=$DB$4),AND(BH74=0,BI74=0)),SUM(AW74,AY74:AZ74,BD74:BF74,BP74,BS74,CA74)-AP74,OR(A74&gt;=$DA$4,B74&gt;=$DB$4),SUM(AW74,AY74:AZ74,BD74:BF74,BS74,CA74)-AP74)</f>
        <v>0</v>
      </c>
      <c r="CD74" s="142" t="str">
        <f t="shared" si="89"/>
        <v/>
      </c>
    </row>
    <row r="75" spans="1:82" x14ac:dyDescent="0.3">
      <c r="A75" s="354">
        <f t="shared" si="68"/>
        <v>68</v>
      </c>
      <c r="B75" s="354">
        <f t="shared" si="69"/>
        <v>68</v>
      </c>
      <c r="C75" s="359">
        <f t="shared" si="90"/>
        <v>24838</v>
      </c>
      <c r="D75" s="326" cm="1">
        <f t="array" ref="D75">_xlfn.IFS(AND(A75&gt;DA$6,B75&gt;DB$6),0,AND(A75&gt;DA$3,A75&lt;=DA$4),D74*(1+DH$1),OR(A75&gt;DA$6,A75&gt;DA$4),(D74-BH74)*(1+DH$2),A75&lt;=DA$4,(D74*(1+DH$1))+(D$4))</f>
        <v>0</v>
      </c>
      <c r="E75" s="375"/>
      <c r="F75" s="326" cm="1">
        <f t="array" ref="F75">_xlfn.IFS(AND(A75&gt;DA$6,B75&gt;DB$6),0,AND(B75&gt;DB$3,B75&lt;=DB$4),F74*(1+DH$1),OR(B75&gt;DB$6,B75&gt;DB$4),(F74-BI74)*(1+DH$2),B75&lt;=DB$4,(F74*(1+DH$1))+(F$4))</f>
        <v>0</v>
      </c>
      <c r="G75" s="375"/>
      <c r="H75" s="1">
        <f t="shared" si="65"/>
        <v>0</v>
      </c>
      <c r="I75" s="2">
        <f t="shared" si="70"/>
        <v>0</v>
      </c>
      <c r="J75" s="14">
        <f t="shared" si="64"/>
        <v>0</v>
      </c>
      <c r="L75" s="402" cm="1">
        <f t="array" ref="L75">_xlfn.IFS(AND(A75&gt;DA$6,B75&gt;DB$6),0,A75&lt;DA$6,0,A75=DA$6,L$4,AND(A75&gt;DA$6,B75&lt;=DB$4),L74*(1+DH$1),AND(A75&gt;DA$6,B75&gt;DB$4),IF(Y74=0,0,(L74-((L74/Y74)*BY74))*(1+DH$2)))</f>
        <v>0</v>
      </c>
      <c r="M75" s="402" cm="1">
        <f t="array" ref="M75">_xlfn.IFS(AND(A75&gt;DA$6,B75&gt;DB$6),0,B75&lt;DB$6,0,B75=DB$6,M$4,AND(B75&gt;DB$6,A75&lt;=DA$4),M74*(1+DH$1),AND(A75&gt;DA$4,B75&gt;DB$6),IF(Y74=0,0,(M74-((M74/Y74)*BY74))*(1+DH$2)))</f>
        <v>0</v>
      </c>
      <c r="N75" s="327"/>
      <c r="O75" s="327" cm="1">
        <f t="array" ref="O75">_xlfn.IFS(OR(ISBLANK(Setup!C$63),Setup!C$63&gt;YEAR(C75),AND(A75&gt;DA$6,B75&gt;DB$6),ISBLANK(Y74)),0,Setup!C$63=YEAR(C75),Setup!C$62,AND(OR(A75&lt;=DA$4,B75&lt;=DB$4),Setup!C$63&lt;YEAR(C75)),O74*(1+DH$1),AND(A75&gt;DA$4,B75&gt;DB$4,Setup!C$63&lt;YEAR(C75)),IF(Y74=0,0,(O74-((O74/Y74)*BY74))*(1+DH$2)))</f>
        <v>0</v>
      </c>
      <c r="P75" s="327" cm="1">
        <f t="array" ref="P75">_xlfn.IFS(OR(ISBLANK(Setup!C$67),Setup!C$67&gt;YEAR(C75),AND(A75&gt;DA$6,B75&gt;DB$6)),0,Setup!C$67=YEAR(C75),Setup!C$66,AND(OR(A75&lt;=DA$4,B75&lt;=DB$4),Setup!C$67&lt;YEAR(C75)),P74*(1+DH$1),AND(A75&gt;DA$4,B75&gt;DB$4,Setup!C$67&lt;YEAR(C75)),IF(Y74=0,0,(P74-((P74/Y74)*BY74))*(1+DH$2)))</f>
        <v>0</v>
      </c>
      <c r="Q75" s="327" cm="1">
        <f t="array" ref="Q75">_xlfn.IFS(OR(ISBLANK(Setup!C$71),Setup!C$71&gt;YEAR(C75),AND(A75&gt;DA$6,B75&gt;DB$6)),0,Setup!C$71=YEAR(C75),Setup!C$70,AND(OR(A75&lt;=DA$4,B75&lt;=DB$4),Setup!C$71&lt;YEAR(C75)),Q74*(1+DH$1),AND(A75&gt;DA$4,B75&gt;DB$4,Setup!C$71&lt;YEAR(C75)),IF(Y74=0,0,(Q74-((Q74/Y74)*BY74))*(1+DH$2)))</f>
        <v>0</v>
      </c>
      <c r="R75" s="327" cm="1">
        <f t="array" ref="R75">_xlfn.IFS(OR(ISBLANK(Setup!C$75),Setup!C$75&gt;YEAR(C75),AND(A75&gt;DA$6,B75&gt;DB$6)),0,Setup!C$75=YEAR(C75),Setup!C$74,AND(OR(A75&lt;=DA$4,B75&lt;=DB$4),Setup!C$75&lt;YEAR(C75)),R74*(1+DH$1),AND(A75&gt;DA$4,B75&gt;DB$4,Setup!C$75&lt;YEAR(C75)),IF(Y74=0,0,(R74-((R74/Y74)*BY74))*(1+DH$2)))</f>
        <v>0</v>
      </c>
      <c r="S75" s="327"/>
      <c r="T75" s="326" cm="1">
        <f t="array" ref="T75">_xlfn.IFS(AND($A75&gt;$DA$6,$B75&gt;$DB$6),0,AND($W$2=$DA$2,$A75&gt;$DA$4),IF($Y74=0,0,(T74-((T74/$Y74)*$BY74))*(1+$DH$2)),AND($W$2=$DB$2,$B75&gt;$DB$4),IF($Y74=0,0,(T74-((T74/$Y74)*$BY74))*(1+$DH$2)),AND($W$2=$DA$2,OR($A75&gt;$DA$3,$A75&gt;$DA$6)),(T74*(1+$DH$1)),AND($W$2=$DB$2,OR($B75&gt;$DB$3,$B75&gt;$DB$6)),(T74*(1+$DH$1)),AND($W$2=$DA$2,$A75&lt;=$DA$3,$A75&lt;=$DA$4,$A75&lt;=$DA$5),(T74*(1+$DH$1))+(T$4),AND($W$2=$DB$2,$B75&lt;=$DB$3,$B75&lt;=$DB$4,$B75&lt;=$DB$5),(T74*(1+$DH$1))+(T$4))</f>
        <v>0</v>
      </c>
      <c r="U75" s="326" cm="1">
        <f t="array" ref="U75">_xlfn.IFS(AND($A75&gt;$DA$6,$B75&gt;$DB$6),0,AND($W$2=$DA$2,$A75&gt;$DA$4),IF($Y74=0,0,(U74-((U74/$Y74)*$BY74))*(1+$DH$2)),AND($W$2=$DB$2,$B75&gt;$DB$4),IF($Y74=0,0,(U74-((U74/$Y74)*$BY74))*(1+$DH$2)),AND($W$2=$DA$2,OR($A75&gt;$DA$3,$A75&gt;$DA$6)),(U74*(1+$DH$1)),AND($W$2=$DB$2,OR($B75&gt;$DB$3,$B75&gt;$DB$6)),(U74*(1+$DH$1)),AND($W$2=$DA$2,$A75&lt;=$DA$3,$A75&lt;=$DA$4,$A75&lt;=$DA$5),(U74*(1+$DH$1))+(U$4),AND($W$2=$DB$2,$B75&lt;=$DB$3,$B75&lt;=$DB$4,$B75&lt;=$DB$5),(U74*(1+$DH$1))+(U$4))</f>
        <v>0</v>
      </c>
      <c r="V75" s="326" cm="1">
        <f t="array" ref="V75">_xlfn.IFS(AND($A75&gt;$DA$6,$B75&gt;$DB$6),0,AND($W$2=$DA$2,$A75&gt;$DA$4),IF($Y74=0,0,(V74-((V74/$Y74)*$BY74))*(1+$DH$2)),AND($W$2=$DB$2,$B75&gt;$DB$4),IF($Y74=0,0,(V74-((V74/$Y74)*$BY74))*(1+$DH$2)),AND($W$2=$DA$2,OR($A75&gt;$DA$3,$A75&gt;$DA$6)),(V74*(1+$DH$1)),AND($W$2=$DB$2,OR($B75&gt;$DB$3,$B75&gt;$DB$6)),(V74*(1+$DH$1)),AND($W$2=$DA$2,$A75&lt;=$DA$3,$A75&lt;=$DA$4,$A75&lt;=$DA$5),(V74*(1+$DH$1))+(V$4),AND($W$2=$DB$2,$B75&lt;=$DB$3,$B75&lt;=$DB$4,$B75&lt;=$DB$5),(V74*(1+$DH$1))+(V$4))</f>
        <v>0</v>
      </c>
      <c r="W75" s="326" cm="1">
        <f t="array" ref="W75">_xlfn.IFS(AND($A75&gt;$DA$6,$B75&gt;$DB$6),0,AND($W$2=$DA$2,$A75&gt;$DA$4),IF($Y74=0,0,(W74-((W74/$Y74)*$BY74))*(1+$DH$2)),AND($W$2=$DB$2,$B75&gt;$DB$4),IF($Y74=0,0,(W74-((W74/$Y74)*$BY74))*(1+$DH$2)),AND($W$2=$DA$2,OR($A75&gt;$DA$3,$A75&gt;$DA$6)),(W74*(1+$DH$1)),AND($W$2=$DB$2,OR($B75&gt;$DB$3,$B75&gt;$DB$6)),(W74*(1+$DH$1)),AND($W$2=$DA$2,$A75&lt;=$DA$3,$A75&lt;=$DA$4,$A75&lt;=$DA$5),(W74*(1+$DH$1))+(W$4),AND($W$2=$DB$2,$B75&lt;=$DB$3,$B75&lt;=$DB$4,$B75&lt;=$DB$5),(W74*(1+$DH$1))+(W$4))</f>
        <v>0</v>
      </c>
      <c r="Y75" s="1">
        <f t="shared" si="80"/>
        <v>0</v>
      </c>
      <c r="Z75" s="2">
        <f t="shared" si="71"/>
        <v>0</v>
      </c>
      <c r="AA75" s="375"/>
      <c r="AC75" s="326" cm="1">
        <f t="array" ref="AC75">_xlfn.IFS(AND(A75&gt;DA$6,B75&gt;DB$6),0,AND(A75&gt;DA$4,B75&gt;DB$4),IF(AG74=0,0,(AC74-((AC74/AG74)*CA74))*(1+DH$2)),OR(A75&gt;DA$3,A75&gt;DA$6),AC74*(1+DH$1),A75&gt;DA$4,(AC74-CA74)*(1+DH$2),AND(A75&lt;=DA$3,A75&lt;=DA$4,A75&lt;=DA$6),(AC74*(1+DH$1))+(AC$4))</f>
        <v>0</v>
      </c>
      <c r="AD75" s="375"/>
      <c r="AE75" s="326" cm="1">
        <f t="array" ref="AE75">_xlfn.IFS(AND(A75&gt;DA$6,B75&gt;DB$6),0,AND(A75&gt;DA$4,B75&gt;DB$4),IF(AG74=0,0,(AE74-((AE74/AG74)*CA74))*(1+DH$2)),OR(B75&gt;DB$3,B75&gt;DB$6),AE74*(1+DH$1),B75&gt;DB$4,(AE74-CA74)*(1+DH$2),AND(B75&lt;=DB$3,B75&lt;=DB$4,B75&lt;=DB$6),(AE74*(1+DH$1))+(AE$4))</f>
        <v>0</v>
      </c>
      <c r="AF75" s="375"/>
      <c r="AG75" s="1">
        <f t="shared" si="92"/>
        <v>0</v>
      </c>
      <c r="AH75" s="2">
        <f t="shared" si="81"/>
        <v>0</v>
      </c>
      <c r="AI75" s="14">
        <f t="shared" si="72"/>
        <v>0</v>
      </c>
      <c r="AK75" s="1">
        <f t="shared" si="82"/>
        <v>0</v>
      </c>
      <c r="AL75" s="14">
        <f t="shared" si="73"/>
        <v>0</v>
      </c>
      <c r="AM75" s="14" t="str">
        <f t="shared" si="83"/>
        <v/>
      </c>
      <c r="AO75" s="15">
        <f t="shared" si="74"/>
        <v>0</v>
      </c>
      <c r="AP75" s="1">
        <f>IF(AND(B75&gt;=$DB$6,A75&gt;=$DA$6),0,AP74*(1+Lookups!C$12))</f>
        <v>0</v>
      </c>
      <c r="AQ75" s="1">
        <f>IF(AND(B75&gt;=$DB$6,A75&gt;=$DA$6),0,AQ74*(1+Lookups!C$12))</f>
        <v>0</v>
      </c>
      <c r="AS75" s="1" cm="1">
        <f t="array" ref="AS75">_xlfn.IFS(OR(AS$6="",AND(A75&gt;=DA$6,B75&gt;=DB$6),AND(A75&lt;DA$4,B75&lt;DB$4)),0,AND(A75=DA$4,DA$4&lt;=DB$4),AS$6,AND(B75=DB$4,DA$4&gt;=DB$4),AS$6,OR(A75&gt;DA$4,B75&gt;DB$4),AS74*(1+Setup!C$103))</f>
        <v>0</v>
      </c>
      <c r="AT75" s="1" cm="1">
        <f t="array" ref="AT75">_xlfn.IFS(OR(AT$6="",AND(A75&gt;=DA$6,B75&gt;=DB$6),AND(A75&lt;DA$4,B75&lt;DB$4)),0,AND(A75=DA$4,DA$4&lt;=DB$4),AT$6,AND(B75=DB$4,DA$4&gt;=DB$4),AT$6,OR(A75&gt;DA$4,B75&gt;DB$4),AT74*(1+Setup!C$103))</f>
        <v>0</v>
      </c>
      <c r="AU75" s="1" cm="1">
        <f t="array" ref="AU75">_xlfn.IFS(OR(AU$6="",AND(A75&gt;=DA$6,B75&gt;=DB$6),AND(A75&lt;DA$4,B75&lt;DB$4)),0,AND(A75=DA$4,DA$4&lt;=DB$4),AU$6,AND(B75=DB$4,DA$4&gt;=DB$4),AU$6,OR(A75&gt;DA$4,B75&gt;DB$4),AU74*(1+Setup!C$103))</f>
        <v>0</v>
      </c>
      <c r="AV75" s="1" cm="1">
        <f t="array" ref="AV75">_xlfn.IFS(OR(AV$6="",AND(A75&gt;=DA$6,B75&gt;=DB$6),AND(A75&lt;DA$4,B75&lt;DB$4)),0,AND(A75=DA$4,DA$4&lt;=DB$4),AV$6,AND(B75=DB$4,DA$4&gt;=DB$4),AV$6,OR(A75&gt;DA$4,B75&gt;DB$4),AV74*(1+Setup!C$103))</f>
        <v>0</v>
      </c>
      <c r="AW75" s="1">
        <f t="shared" si="75"/>
        <v>0</v>
      </c>
      <c r="AY75" s="1" cm="1">
        <f t="array" ref="AY75">_xlfn.IFS(OR(AND(A75&gt;=DA$6,B75&gt;=DB$6),A75&lt;DA$5),0,AND(A75=DA$5,YEAR(C75)&gt;=Lookups!D$89),VLOOKUP(A75,Lookups!B$94:F$102,3),AND(A75=DA$5,YEAR(C75)&lt;Lookups!D$89),VLOOKUP(A75,Lookups!B$94:F$102,2),AND(A75&gt;DA$5,YEAR(C75)=Lookups!D$89),(AY74*Lookups!D$90)*(1+Lookups!C$20),AND(A75&gt;DA$5,YEAR(C75)&lt;&gt;Lookups!D$89),AY74*(1+Lookups!C$20))</f>
        <v>0</v>
      </c>
      <c r="AZ75" s="1" cm="1">
        <f t="array" ref="AZ75">_xlfn.IFS(OR(ISBLANK(Setup!K$91),Setup!K$91=0,AND(A75&gt;=DA$6,B75&gt;=DB$6),B75&lt;DB$5),0,AND(B75=DB$5,YEAR(C75)&gt;=Lookups!D$89),VLOOKUP(B75,Lookups!B$94:F$102,5),AND(B75=DB$5,YEAR(C75)&lt;Lookups!D$89),VLOOKUP(B75,Lookups!B$94:F$102,4),AND(B75&gt;DB$5,YEAR(C75)=Lookups!D$89),(AZ74*Lookups!D$90)*(1+Lookups!C$20),AND(B75&gt;DB$5,YEAR(C75)&lt;&gt;Lookups!D$89),AZ74*(1+Lookups!C$20))</f>
        <v>0</v>
      </c>
      <c r="BA75" s="65">
        <f>IF(OR(AY75&gt;0,AZ75&gt;0),(AY75+AZ75)*Lookups!D$120,0)</f>
        <v>0</v>
      </c>
      <c r="BB75" s="1" cm="1">
        <f t="array" ref="BB75">_xlfn.IFS(AND(A75&lt;DA$4,B75&lt;DB$4),0,OR(_xlfn.XOR(A75&gt;DA$6,B75&gt;DB$6),_xlfn.XOR(A75&gt;=DA$4,B75&gt;=DB$4)),IF(AP75-SUM(AW75,AY75:AZ75)&gt;0,AP75-SUM(AW75,AY75:AZ75),0),AQ75-SUM(AW75,AY75:AZ75)&gt;0, AQ75-SUM(AW75,AY75:AZ75),AQ75-SUM(AW75,AY75:AZ75)&lt;=0,0)</f>
        <v>0</v>
      </c>
      <c r="BD75" s="1" cm="1">
        <f t="array" ref="BD75">_xlfn.IFS(AND(A75&gt;=DA$6,B75&gt;=DB$6),0,AND(A75&gt;=DA$6,B75&gt;=Lookups!C$35),D75/VLOOKUP(B75,Lookups!C$37:D$67,2),A75&lt;Lookups!$C$35,0,A75&gt;=Lookups!C$35,D75/VLOOKUP(A75,Lookups!C$37:D$67,2))</f>
        <v>0</v>
      </c>
      <c r="BE75" s="1" cm="1">
        <f t="array" ref="BE75">_xlfn.IFS(AND(A75&gt;=DA$6,B75&gt;=DB$6),0,AND(B75&gt;=DB$6,A75&gt;=Lookups!C$35),F75/VLOOKUP(A75,Lookups!C$37:D$67,2),B75&lt;Lookups!$C$35,0,B75&gt;=Lookups!C$35,F75/VLOOKUP(B75,Lookups!C$37:D$67,2))</f>
        <v>0</v>
      </c>
      <c r="BF75" s="1" cm="1">
        <f t="array" ref="BF75">_xlfn.IFS($BB75&lt;=0,0,AND(A75&gt;=DA$4,B75&gt;=DB$4,$BB75*I75&lt;(BD75+BE75)),0,AND(A75&gt;=DA$4,B75&gt;=DB$4,H75&gt;=(BB75*I75)-BD75-BE75),(BB75*I75)-BD75-BE75,AND(A75&gt;=DA$4,B75&gt;=DB$4,H75&lt;(BB75*I75)-BD75-BE75),H75,AND(A75&gt;=DA$4,$BB75*I75&lt;(BD75)),0,AND(A75&gt;=DA$4,H75&gt;=(BB75*I75)-BD75),(BB75*I75)-BD75,AND(A75&gt;=DA$4,H75&lt;(BB75*I75)-BD75),H75,AND(B75&gt;=DB$4,$BB75*I75&lt;(BE75)),0,AND(B75&gt;=DB$4,H75&gt;=(BB75*I75)-BE75),(BB75*I75)-BE75,AND(B75&gt;=DB$4,H75&lt;(BB75*I75)-BE75),H75)</f>
        <v>0</v>
      </c>
      <c r="BG75" s="1">
        <f t="shared" si="66"/>
        <v>0</v>
      </c>
      <c r="BH75" s="1" cm="1">
        <f t="array" ref="BH75">_xlfn.IFS(OR(D75=0,A75&lt;DA$4),0,AND(A75&gt;=DA$4,B75&gt;=DB$4,D75&lt;BD75+($BF75*(D75/$H75))+(-$BP75*(D75/$H75))),D75,AND(A75&gt;=DA$4,B75&gt;=DB$4,$BB75&gt;$BG75),BD75+($BF75*(D75/$H75))+(-$BP75*(D75/$H75)),AND(A75&gt;=DA$4,B75&gt;=DB$4,OR(A75&gt;DA$6, B75&gt;DB$6),$AP75-SUM($AW75,$AY75:$AZ75)&lt;0),BD75+($BF75*(D75/$H75))+(-$BP75*(D75/$H75))+(BP75*(D75/$H75)),AND(A75&gt;=DA$4,B75&gt;=DB$4,$AQ75-SUM($AW75,$AY75:$AZ75)&lt;0),BD75+($BF75*(D75/$H75))+(-$BP75*(D75/$H75))+(BP75*(D75/$H75)),AND(A75&gt;=DA$4,D75&lt;BD75+$BF75-$BP75),D75,AND(A75&gt;=DA$4,$AP75-SUM($AW75,$AY75:$AZ75)&lt;0),BD75+($BF75*(D75/$H75))+(-$BP75*(D75/$H75))+(BP75*(D75/$H75)),A75&gt;=DA$4,BD75+$BF75-$BP75)</f>
        <v>0</v>
      </c>
      <c r="BI75" s="1" cm="1">
        <f t="array" ref="BI75">_xlfn.IFS(OR(F75=0,B75&lt;DB$4),0,AND(A75&gt;=DA$4,B75&gt;=DB$4,F75&lt;BE75+($BF75*(F75/$H75))+(-$BP75*(F75/$H75))),F75,AND(A75&gt;=DA$4,B75&gt;=DB$4,$BB75&gt;$BG75),BE75+($BF75*(F75/$H75))+(-$BP75*(F75/$H75)),AND(A75&gt;=DA$4,B75&gt;=DB$4,OR(A75&gt;DA$6, B75&gt;DB$6),$AP75-SUM($AW75,$AY75:$AZ75)&lt;0),BE75+($BF75*(F75/$H75))+(-$BP75*(F75/$H75))+(BP75*(F75/$H75)),AND(A75&gt;=DA$4,B75&gt;=DB$4,$AQ75-SUM($AW75,$AY75:$AZ75)&lt;0),BE75+($BF75*(F75/$H75))+(-$BP75*(F75/$H75))+(BP75*(F75/$H75)),AND(B75&gt;=DB$4,F75&lt;BE75+$BF75-$BP75),F75,AND(B75&gt;=DB$4,$AP75-SUM($AW75,$AY75:$AZ75)&lt;0),BE75+($BF75*(F75/$H75))+(-$BP75*(F75/$H75))+(BP75*(F75/$H75)),B75&gt;=DB$4,BE75+$BF75-$BP75)</f>
        <v>0</v>
      </c>
      <c r="BJ75" s="64" cm="1">
        <f t="array" ref="BJ75">IF(AW75+BA75+BG75&gt;0, AW75+BA75+BG75-_xlfn.IFS(AND(A75&gt;=65,B75&gt;=65),VLOOKUP(Setup!I$4,Lookups!C$133:F$136,4),OR(A75&gt;=65,B75&gt;=65),VLOOKUP(Setup!I$4,Lookups!C$133:E$136,3),AND(A75&lt;65,B75&lt;65),VLOOKUP(Setup!I$4,Lookups!C$133:D$136,2)),0)</f>
        <v>0</v>
      </c>
      <c r="BK75" s="1" cm="1">
        <f t="array" ref="BK75">IF(BJ75&gt;0,_xlfn.IFS(Setup!I$4=Lookups!D$109,-_xlfn.IFS($BJ75&gt;=Lookups!D$157, Lookups!F$157+($BJ75-Lookups!D$157)*Lookups!G$157,$BJ75&gt;=Lookups!D$156, Lookups!F$156+($BJ75-Lookups!D$156)*Lookups!G$156,$BJ75&gt;=Lookups!D$155, Lookups!F$155+($BJ75-Lookups!D$155)*Lookups!G$155,$BJ75&gt;=Lookups!D$154, Lookups!F$154+($BJ75-Lookups!D$154)*Lookups!G$154,$BJ75&gt;=Lookups!D$153, Lookups!F$153+($BJ75-Lookups!D$153)*Lookups!G$153,$BJ75&gt;=Lookups!D$152, Lookups!F$152+($BJ75-Lookups!D$152)*Lookups!G$152,$BJ75&lt;Lookups!D$152,$BJ75*Lookups!G$151),Setup!I$4=Lookups!D$110,-_xlfn.IFS($BJ75&gt;=Lookups!D$167, Lookups!F$167+($BJ75-Lookups!D$167)*Lookups!G$167,$BJ75&gt;=Lookups!D$166, Lookups!F$166+($BJ75-Lookups!D$166)*Lookups!G$166,$BJ75&gt;=Lookups!D$165, Lookups!F$165+($BJ75-Lookups!D$165)*Lookups!G$165,$BJ75&gt;=Lookups!D$164, Lookups!F$164+($BJ75-Lookups!D$164)*Lookups!G$164,$BJ75&gt;=Lookups!D$163, Lookups!F$163+($BJ75-Lookups!D$163)*Lookups!G$163,$BJ75&gt;=Lookups!D$162, Lookups!F$162+($BJ75-Lookups!D$162)*Lookups!G$162,$BJ75&lt;Lookups!D$162,$BJ75*Lookups!G$161),Setup!I$4=Lookups!D$111,-_xlfn.IFS($BJ75&gt;=Lookups!D$177, Lookups!F$177+($BJ75-Lookups!D$177)*Lookups!G$177,$BJ75&gt;=Lookups!D$176, Lookups!F$176+($BJ75-Lookups!D$176)*Lookups!G$176,$BJ75&gt;=Lookups!D$175, Lookups!F$175+($BJ75-Lookups!D$175)*Lookups!G$175,$BJ75&gt;=Lookups!D$174, Lookups!F$174+($BJ75-Lookups!D$174)*Lookups!G$174,$BJ75&gt;=Lookups!D$173, Lookups!F$173+($BJ75-Lookups!D$173)*Lookups!G$173,$BJ75&gt;=Lookups!D$172, Lookups!F$172+($BJ75-Lookups!D$172)*Lookups!G$172,$BJ75&lt;Lookups!D$172,$BJ75*Lookups!G$171), Setup!I$4=Lookups!D$112,-_xlfn.IFS($BJ75&gt;=Lookups!D$187, Lookups!F$187+($BJ75-Lookups!D$187)*Lookups!G$187,$BJ75&gt;=Lookups!D$186, Lookups!F$186+($BJ75-Lookups!D$186)*Lookups!G$186,$BJ75&gt;=Lookups!D$185, Lookups!F$185+($BJ75-Lookups!D$185)*Lookups!G$185,$BJ75&gt;=Lookups!D$184, Lookups!F$184+($BJ75-Lookups!D$184)*Lookups!G$184,$BJ75&gt;=Lookups!D$183, Lookups!F$183+($BJ75-Lookups!D$183)*Lookups!G$183,$BJ75&gt;=Lookups!D$182, Lookups!F$182+($BJ75-Lookups!D$182)*Lookups!G$182,$BJ75&lt;Lookups!D$182,$BJ75*Lookups!G$181)),0)</f>
        <v>0</v>
      </c>
      <c r="BL75" s="18">
        <f t="shared" si="76"/>
        <v>0</v>
      </c>
      <c r="BM75" s="134">
        <f t="shared" si="67"/>
        <v>0</v>
      </c>
      <c r="BN75" s="134" cm="1">
        <f t="array" aca="1" ref="BN75" ca="1">INDIRECT(Setup!I$6&amp;"!"&amp;"A"&amp;ROW())</f>
        <v>0</v>
      </c>
      <c r="BO75" s="134">
        <f t="shared" si="84"/>
        <v>0</v>
      </c>
      <c r="BP75" s="1">
        <f t="shared" si="77"/>
        <v>0</v>
      </c>
      <c r="BQ75" s="1">
        <f t="shared" si="85"/>
        <v>0</v>
      </c>
      <c r="BS75" s="1">
        <f t="shared" si="86"/>
        <v>0</v>
      </c>
      <c r="BT75" s="1" cm="1">
        <f t="array" ref="BT75">-IF(BS75&gt;0,_xlfn.IFS((AW75+BA75+BG75+BS75)&gt;=VLOOKUP(Setup!I$4,Lookups!C$210:E$213,3),BS75*Lookups!D$203,(AW75+BA75+BG75+BS75)&gt;=VLOOKUP(Setup!I$4,Lookups!C$210:E$213,2),BS75*Lookups!D$197,(AW75+BA75+BG75+BS75)&lt;VLOOKUP(Setup!I$4,Lookups!C$210:E$213,2),0),0)</f>
        <v>0</v>
      </c>
      <c r="BU75" s="18">
        <f t="shared" si="87"/>
        <v>0</v>
      </c>
      <c r="BV75" s="1">
        <f t="shared" si="88"/>
        <v>0</v>
      </c>
      <c r="BW75" s="1" cm="1">
        <f t="array" aca="1" ref="BW75" ca="1">INDIRECT(Setup!I$6&amp;"!"&amp;"A"&amp;ROW()+100)</f>
        <v>0</v>
      </c>
      <c r="BX75" s="1">
        <f t="shared" ca="1" si="78"/>
        <v>0</v>
      </c>
      <c r="BY75" s="1">
        <f t="shared" ca="1" si="79"/>
        <v>0</v>
      </c>
      <c r="CA75" s="1">
        <f t="shared" si="91"/>
        <v>0</v>
      </c>
      <c r="CC75" s="1" cm="1">
        <f t="array" ref="CC75">_xlfn.IFS(AND(A75&lt;$DA$4,B75&lt;$DB$4),0,AND(AND(A75&gt;=$DA$4,B75&gt;=$DB$4),AND(A75&lt;=$DA$6,B75&lt;=$DB$6),AND(BH75=0,BI75=0)),SUM(AW75,AY75:AZ75,BD75:BF75,BP75,BS75,CA75)-AQ75,AND(AND(A75&gt;=$DA$4,B75&gt;=$DB$4),AND(A75&lt;=$DA$6,B75&lt;=$DB$6)),SUM(AW75,AY75:AZ75,BD75:BF75,BS75,CA75)-AQ75,AND(OR(A75&gt;=$DA$4,B75&gt;=$DB$4),AND(BH75=0,BI75=0)),SUM(AW75,AY75:AZ75,BD75:BF75,BP75,BS75,CA75)-AP75,OR(A75&gt;=$DA$4,B75&gt;=$DB$4),SUM(AW75,AY75:AZ75,BD75:BF75,BS75,CA75)-AP75)</f>
        <v>0</v>
      </c>
      <c r="CD75" s="142" t="str">
        <f t="shared" si="89"/>
        <v/>
      </c>
    </row>
    <row r="76" spans="1:82" x14ac:dyDescent="0.3">
      <c r="A76" s="354">
        <f t="shared" si="68"/>
        <v>69</v>
      </c>
      <c r="B76" s="354">
        <f t="shared" si="69"/>
        <v>69</v>
      </c>
      <c r="C76" s="359">
        <f t="shared" si="90"/>
        <v>25204</v>
      </c>
      <c r="D76" s="326" cm="1">
        <f t="array" ref="D76">_xlfn.IFS(AND(A76&gt;DA$6,B76&gt;DB$6),0,AND(A76&gt;DA$3,A76&lt;=DA$4),D75*(1+DH$1),OR(A76&gt;DA$6,A76&gt;DA$4),(D75-BH75)*(1+DH$2),A76&lt;=DA$4,(D75*(1+DH$1))+(D$4))</f>
        <v>0</v>
      </c>
      <c r="E76" s="375"/>
      <c r="F76" s="326" cm="1">
        <f t="array" ref="F76">_xlfn.IFS(AND(A76&gt;DA$6,B76&gt;DB$6),0,AND(B76&gt;DB$3,B76&lt;=DB$4),F75*(1+DH$1),OR(B76&gt;DB$6,B76&gt;DB$4),(F75-BI75)*(1+DH$2),B76&lt;=DB$4,(F75*(1+DH$1))+(F$4))</f>
        <v>0</v>
      </c>
      <c r="G76" s="375"/>
      <c r="H76" s="1">
        <f t="shared" si="65"/>
        <v>0</v>
      </c>
      <c r="I76" s="2">
        <f t="shared" si="70"/>
        <v>0</v>
      </c>
      <c r="J76" s="14">
        <f t="shared" si="64"/>
        <v>0</v>
      </c>
      <c r="L76" s="402" cm="1">
        <f t="array" ref="L76">_xlfn.IFS(AND(A76&gt;DA$6,B76&gt;DB$6),0,A76&lt;DA$6,0,A76=DA$6,L$4,AND(A76&gt;DA$6,B76&lt;=DB$4),L75*(1+DH$1),AND(A76&gt;DA$6,B76&gt;DB$4),IF(Y75=0,0,(L75-((L75/Y75)*BY75))*(1+DH$2)))</f>
        <v>0</v>
      </c>
      <c r="M76" s="402" cm="1">
        <f t="array" ref="M76">_xlfn.IFS(AND(A76&gt;DA$6,B76&gt;DB$6),0,B76&lt;DB$6,0,B76=DB$6,M$4,AND(B76&gt;DB$6,A76&lt;=DA$4),M75*(1+DH$1),AND(A76&gt;DA$4,B76&gt;DB$6),IF(Y75=0,0,(M75-((M75/Y75)*BY75))*(1+DH$2)))</f>
        <v>0</v>
      </c>
      <c r="N76" s="327"/>
      <c r="O76" s="327" cm="1">
        <f t="array" ref="O76">_xlfn.IFS(OR(ISBLANK(Setup!C$63),Setup!C$63&gt;YEAR(C76),AND(A76&gt;DA$6,B76&gt;DB$6),ISBLANK(Y75)),0,Setup!C$63=YEAR(C76),Setup!C$62,AND(OR(A76&lt;=DA$4,B76&lt;=DB$4),Setup!C$63&lt;YEAR(C76)),O75*(1+DH$1),AND(A76&gt;DA$4,B76&gt;DB$4,Setup!C$63&lt;YEAR(C76)),IF(Y75=0,0,(O75-((O75/Y75)*BY75))*(1+DH$2)))</f>
        <v>0</v>
      </c>
      <c r="P76" s="327" cm="1">
        <f t="array" ref="P76">_xlfn.IFS(OR(ISBLANK(Setup!C$67),Setup!C$67&gt;YEAR(C76),AND(A76&gt;DA$6,B76&gt;DB$6)),0,Setup!C$67=YEAR(C76),Setup!C$66,AND(OR(A76&lt;=DA$4,B76&lt;=DB$4),Setup!C$67&lt;YEAR(C76)),P75*(1+DH$1),AND(A76&gt;DA$4,B76&gt;DB$4,Setup!C$67&lt;YEAR(C76)),IF(Y75=0,0,(P75-((P75/Y75)*BY75))*(1+DH$2)))</f>
        <v>0</v>
      </c>
      <c r="Q76" s="327" cm="1">
        <f t="array" ref="Q76">_xlfn.IFS(OR(ISBLANK(Setup!C$71),Setup!C$71&gt;YEAR(C76),AND(A76&gt;DA$6,B76&gt;DB$6)),0,Setup!C$71=YEAR(C76),Setup!C$70,AND(OR(A76&lt;=DA$4,B76&lt;=DB$4),Setup!C$71&lt;YEAR(C76)),Q75*(1+DH$1),AND(A76&gt;DA$4,B76&gt;DB$4,Setup!C$71&lt;YEAR(C76)),IF(Y75=0,0,(Q75-((Q75/Y75)*BY75))*(1+DH$2)))</f>
        <v>0</v>
      </c>
      <c r="R76" s="327" cm="1">
        <f t="array" ref="R76">_xlfn.IFS(OR(ISBLANK(Setup!C$75),Setup!C$75&gt;YEAR(C76),AND(A76&gt;DA$6,B76&gt;DB$6)),0,Setup!C$75=YEAR(C76),Setup!C$74,AND(OR(A76&lt;=DA$4,B76&lt;=DB$4),Setup!C$75&lt;YEAR(C76)),R75*(1+DH$1),AND(A76&gt;DA$4,B76&gt;DB$4,Setup!C$75&lt;YEAR(C76)),IF(Y75=0,0,(R75-((R75/Y75)*BY75))*(1+DH$2)))</f>
        <v>0</v>
      </c>
      <c r="S76" s="327"/>
      <c r="T76" s="326" cm="1">
        <f t="array" ref="T76">_xlfn.IFS(AND($A76&gt;$DA$6,$B76&gt;$DB$6),0,AND($W$2=$DA$2,$A76&gt;$DA$4),IF($Y75=0,0,(T75-((T75/$Y75)*$BY75))*(1+$DH$2)),AND($W$2=$DB$2,$B76&gt;$DB$4),IF($Y75=0,0,(T75-((T75/$Y75)*$BY75))*(1+$DH$2)),AND($W$2=$DA$2,OR($A76&gt;$DA$3,$A76&gt;$DA$6)),(T75*(1+$DH$1)),AND($W$2=$DB$2,OR($B76&gt;$DB$3,$B76&gt;$DB$6)),(T75*(1+$DH$1)),AND($W$2=$DA$2,$A76&lt;=$DA$3,$A76&lt;=$DA$4,$A76&lt;=$DA$5),(T75*(1+$DH$1))+(T$4),AND($W$2=$DB$2,$B76&lt;=$DB$3,$B76&lt;=$DB$4,$B76&lt;=$DB$5),(T75*(1+$DH$1))+(T$4))</f>
        <v>0</v>
      </c>
      <c r="U76" s="326" cm="1">
        <f t="array" ref="U76">_xlfn.IFS(AND($A76&gt;$DA$6,$B76&gt;$DB$6),0,AND($W$2=$DA$2,$A76&gt;$DA$4),IF($Y75=0,0,(U75-((U75/$Y75)*$BY75))*(1+$DH$2)),AND($W$2=$DB$2,$B76&gt;$DB$4),IF($Y75=0,0,(U75-((U75/$Y75)*$BY75))*(1+$DH$2)),AND($W$2=$DA$2,OR($A76&gt;$DA$3,$A76&gt;$DA$6)),(U75*(1+$DH$1)),AND($W$2=$DB$2,OR($B76&gt;$DB$3,$B76&gt;$DB$6)),(U75*(1+$DH$1)),AND($W$2=$DA$2,$A76&lt;=$DA$3,$A76&lt;=$DA$4,$A76&lt;=$DA$5),(U75*(1+$DH$1))+(U$4),AND($W$2=$DB$2,$B76&lt;=$DB$3,$B76&lt;=$DB$4,$B76&lt;=$DB$5),(U75*(1+$DH$1))+(U$4))</f>
        <v>0</v>
      </c>
      <c r="V76" s="326" cm="1">
        <f t="array" ref="V76">_xlfn.IFS(AND($A76&gt;$DA$6,$B76&gt;$DB$6),0,AND($W$2=$DA$2,$A76&gt;$DA$4),IF($Y75=0,0,(V75-((V75/$Y75)*$BY75))*(1+$DH$2)),AND($W$2=$DB$2,$B76&gt;$DB$4),IF($Y75=0,0,(V75-((V75/$Y75)*$BY75))*(1+$DH$2)),AND($W$2=$DA$2,OR($A76&gt;$DA$3,$A76&gt;$DA$6)),(V75*(1+$DH$1)),AND($W$2=$DB$2,OR($B76&gt;$DB$3,$B76&gt;$DB$6)),(V75*(1+$DH$1)),AND($W$2=$DA$2,$A76&lt;=$DA$3,$A76&lt;=$DA$4,$A76&lt;=$DA$5),(V75*(1+$DH$1))+(V$4),AND($W$2=$DB$2,$B76&lt;=$DB$3,$B76&lt;=$DB$4,$B76&lt;=$DB$5),(V75*(1+$DH$1))+(V$4))</f>
        <v>0</v>
      </c>
      <c r="W76" s="326" cm="1">
        <f t="array" ref="W76">_xlfn.IFS(AND($A76&gt;$DA$6,$B76&gt;$DB$6),0,AND($W$2=$DA$2,$A76&gt;$DA$4),IF($Y75=0,0,(W75-((W75/$Y75)*$BY75))*(1+$DH$2)),AND($W$2=$DB$2,$B76&gt;$DB$4),IF($Y75=0,0,(W75-((W75/$Y75)*$BY75))*(1+$DH$2)),AND($W$2=$DA$2,OR($A76&gt;$DA$3,$A76&gt;$DA$6)),(W75*(1+$DH$1)),AND($W$2=$DB$2,OR($B76&gt;$DB$3,$B76&gt;$DB$6)),(W75*(1+$DH$1)),AND($W$2=$DA$2,$A76&lt;=$DA$3,$A76&lt;=$DA$4,$A76&lt;=$DA$5),(W75*(1+$DH$1))+(W$4),AND($W$2=$DB$2,$B76&lt;=$DB$3,$B76&lt;=$DB$4,$B76&lt;=$DB$5),(W75*(1+$DH$1))+(W$4))</f>
        <v>0</v>
      </c>
      <c r="Y76" s="1">
        <f t="shared" si="80"/>
        <v>0</v>
      </c>
      <c r="Z76" s="2">
        <f t="shared" si="71"/>
        <v>0</v>
      </c>
      <c r="AA76" s="375"/>
      <c r="AC76" s="326" cm="1">
        <f t="array" ref="AC76">_xlfn.IFS(AND(A76&gt;DA$6,B76&gt;DB$6),0,AND(A76&gt;DA$4,B76&gt;DB$4),IF(AG75=0,0,(AC75-((AC75/AG75)*CA75))*(1+DH$2)),OR(A76&gt;DA$3,A76&gt;DA$6),AC75*(1+DH$1),A76&gt;DA$4,(AC75-CA75)*(1+DH$2),AND(A76&lt;=DA$3,A76&lt;=DA$4,A76&lt;=DA$6),(AC75*(1+DH$1))+(AC$4))</f>
        <v>0</v>
      </c>
      <c r="AD76" s="375"/>
      <c r="AE76" s="326" cm="1">
        <f t="array" ref="AE76">_xlfn.IFS(AND(A76&gt;DA$6,B76&gt;DB$6),0,AND(A76&gt;DA$4,B76&gt;DB$4),IF(AG75=0,0,(AE75-((AE75/AG75)*CA75))*(1+DH$2)),OR(B76&gt;DB$3,B76&gt;DB$6),AE75*(1+DH$1),B76&gt;DB$4,(AE75-CA75)*(1+DH$2),AND(B76&lt;=DB$3,B76&lt;=DB$4,B76&lt;=DB$6),(AE75*(1+DH$1))+(AE$4))</f>
        <v>0</v>
      </c>
      <c r="AF76" s="375"/>
      <c r="AG76" s="1">
        <f t="shared" si="92"/>
        <v>0</v>
      </c>
      <c r="AH76" s="2">
        <f t="shared" si="81"/>
        <v>0</v>
      </c>
      <c r="AI76" s="14">
        <f t="shared" si="72"/>
        <v>0</v>
      </c>
      <c r="AK76" s="1">
        <f t="shared" si="82"/>
        <v>0</v>
      </c>
      <c r="AL76" s="14">
        <f t="shared" si="73"/>
        <v>0</v>
      </c>
      <c r="AM76" s="14" t="str">
        <f t="shared" si="83"/>
        <v/>
      </c>
      <c r="AO76" s="15">
        <f t="shared" si="74"/>
        <v>0</v>
      </c>
      <c r="AP76" s="1">
        <f>IF(AND(B76&gt;=$DB$6,A76&gt;=$DA$6),0,AP75*(1+Lookups!C$12))</f>
        <v>0</v>
      </c>
      <c r="AQ76" s="1">
        <f>IF(AND(B76&gt;=$DB$6,A76&gt;=$DA$6),0,AQ75*(1+Lookups!C$12))</f>
        <v>0</v>
      </c>
      <c r="AS76" s="1" cm="1">
        <f t="array" ref="AS76">_xlfn.IFS(OR(AS$6="",AND(A76&gt;=DA$6,B76&gt;=DB$6),AND(A76&lt;DA$4,B76&lt;DB$4)),0,AND(A76=DA$4,DA$4&lt;=DB$4),AS$6,AND(B76=DB$4,DA$4&gt;=DB$4),AS$6,OR(A76&gt;DA$4,B76&gt;DB$4),AS75*(1+Setup!C$103))</f>
        <v>0</v>
      </c>
      <c r="AT76" s="1" cm="1">
        <f t="array" ref="AT76">_xlfn.IFS(OR(AT$6="",AND(A76&gt;=DA$6,B76&gt;=DB$6),AND(A76&lt;DA$4,B76&lt;DB$4)),0,AND(A76=DA$4,DA$4&lt;=DB$4),AT$6,AND(B76=DB$4,DA$4&gt;=DB$4),AT$6,OR(A76&gt;DA$4,B76&gt;DB$4),AT75*(1+Setup!C$103))</f>
        <v>0</v>
      </c>
      <c r="AU76" s="1" cm="1">
        <f t="array" ref="AU76">_xlfn.IFS(OR(AU$6="",AND(A76&gt;=DA$6,B76&gt;=DB$6),AND(A76&lt;DA$4,B76&lt;DB$4)),0,AND(A76=DA$4,DA$4&lt;=DB$4),AU$6,AND(B76=DB$4,DA$4&gt;=DB$4),AU$6,OR(A76&gt;DA$4,B76&gt;DB$4),AU75*(1+Setup!C$103))</f>
        <v>0</v>
      </c>
      <c r="AV76" s="1" cm="1">
        <f t="array" ref="AV76">_xlfn.IFS(OR(AV$6="",AND(A76&gt;=DA$6,B76&gt;=DB$6),AND(A76&lt;DA$4,B76&lt;DB$4)),0,AND(A76=DA$4,DA$4&lt;=DB$4),AV$6,AND(B76=DB$4,DA$4&gt;=DB$4),AV$6,OR(A76&gt;DA$4,B76&gt;DB$4),AV75*(1+Setup!C$103))</f>
        <v>0</v>
      </c>
      <c r="AW76" s="1">
        <f t="shared" si="75"/>
        <v>0</v>
      </c>
      <c r="AY76" s="1" cm="1">
        <f t="array" ref="AY76">_xlfn.IFS(OR(AND(A76&gt;=DA$6,B76&gt;=DB$6),A76&lt;DA$5),0,AND(A76=DA$5,YEAR(C76)&gt;=Lookups!D$89),VLOOKUP(A76,Lookups!B$94:F$102,3),AND(A76=DA$5,YEAR(C76)&lt;Lookups!D$89),VLOOKUP(A76,Lookups!B$94:F$102,2),AND(A76&gt;DA$5,YEAR(C76)=Lookups!D$89),(AY75*Lookups!D$90)*(1+Lookups!C$20),AND(A76&gt;DA$5,YEAR(C76)&lt;&gt;Lookups!D$89),AY75*(1+Lookups!C$20))</f>
        <v>0</v>
      </c>
      <c r="AZ76" s="1" cm="1">
        <f t="array" ref="AZ76">_xlfn.IFS(OR(ISBLANK(Setup!K$91),Setup!K$91=0,AND(A76&gt;=DA$6,B76&gt;=DB$6),B76&lt;DB$5),0,AND(B76=DB$5,YEAR(C76)&gt;=Lookups!D$89),VLOOKUP(B76,Lookups!B$94:F$102,5),AND(B76=DB$5,YEAR(C76)&lt;Lookups!D$89),VLOOKUP(B76,Lookups!B$94:F$102,4),AND(B76&gt;DB$5,YEAR(C76)=Lookups!D$89),(AZ75*Lookups!D$90)*(1+Lookups!C$20),AND(B76&gt;DB$5,YEAR(C76)&lt;&gt;Lookups!D$89),AZ75*(1+Lookups!C$20))</f>
        <v>0</v>
      </c>
      <c r="BA76" s="65">
        <f>IF(OR(AY76&gt;0,AZ76&gt;0),(AY76+AZ76)*Lookups!D$120,0)</f>
        <v>0</v>
      </c>
      <c r="BB76" s="1" cm="1">
        <f t="array" ref="BB76">_xlfn.IFS(AND(A76&lt;DA$4,B76&lt;DB$4),0,OR(_xlfn.XOR(A76&gt;DA$6,B76&gt;DB$6),_xlfn.XOR(A76&gt;=DA$4,B76&gt;=DB$4)),IF(AP76-SUM(AW76,AY76:AZ76)&gt;0,AP76-SUM(AW76,AY76:AZ76),0),AQ76-SUM(AW76,AY76:AZ76)&gt;0, AQ76-SUM(AW76,AY76:AZ76),AQ76-SUM(AW76,AY76:AZ76)&lt;=0,0)</f>
        <v>0</v>
      </c>
      <c r="BD76" s="1" cm="1">
        <f t="array" ref="BD76">_xlfn.IFS(AND(A76&gt;=DA$6,B76&gt;=DB$6),0,AND(A76&gt;=DA$6,B76&gt;=Lookups!C$35),D76/VLOOKUP(B76,Lookups!C$37:D$67,2),A76&lt;Lookups!$C$35,0,A76&gt;=Lookups!C$35,D76/VLOOKUP(A76,Lookups!C$37:D$67,2))</f>
        <v>0</v>
      </c>
      <c r="BE76" s="1" cm="1">
        <f t="array" ref="BE76">_xlfn.IFS(AND(A76&gt;=DA$6,B76&gt;=DB$6),0,AND(B76&gt;=DB$6,A76&gt;=Lookups!C$35),F76/VLOOKUP(A76,Lookups!C$37:D$67,2),B76&lt;Lookups!$C$35,0,B76&gt;=Lookups!C$35,F76/VLOOKUP(B76,Lookups!C$37:D$67,2))</f>
        <v>0</v>
      </c>
      <c r="BF76" s="1" cm="1">
        <f t="array" ref="BF76">_xlfn.IFS($BB76&lt;=0,0,AND(A76&gt;=DA$4,B76&gt;=DB$4,$BB76*I76&lt;(BD76+BE76)),0,AND(A76&gt;=DA$4,B76&gt;=DB$4,H76&gt;=(BB76*I76)-BD76-BE76),(BB76*I76)-BD76-BE76,AND(A76&gt;=DA$4,B76&gt;=DB$4,H76&lt;(BB76*I76)-BD76-BE76),H76,AND(A76&gt;=DA$4,$BB76*I76&lt;(BD76)),0,AND(A76&gt;=DA$4,H76&gt;=(BB76*I76)-BD76),(BB76*I76)-BD76,AND(A76&gt;=DA$4,H76&lt;(BB76*I76)-BD76),H76,AND(B76&gt;=DB$4,$BB76*I76&lt;(BE76)),0,AND(B76&gt;=DB$4,H76&gt;=(BB76*I76)-BE76),(BB76*I76)-BE76,AND(B76&gt;=DB$4,H76&lt;(BB76*I76)-BE76),H76)</f>
        <v>0</v>
      </c>
      <c r="BG76" s="1">
        <f t="shared" si="66"/>
        <v>0</v>
      </c>
      <c r="BH76" s="1" cm="1">
        <f t="array" ref="BH76">_xlfn.IFS(OR(D76=0,A76&lt;DA$4),0,AND(A76&gt;=DA$4,B76&gt;=DB$4,D76&lt;BD76+($BF76*(D76/$H76))+(-$BP76*(D76/$H76))),D76,AND(A76&gt;=DA$4,B76&gt;=DB$4,$BB76&gt;$BG76),BD76+($BF76*(D76/$H76))+(-$BP76*(D76/$H76)),AND(A76&gt;=DA$4,B76&gt;=DB$4,OR(A76&gt;DA$6, B76&gt;DB$6),$AP76-SUM($AW76,$AY76:$AZ76)&lt;0),BD76+($BF76*(D76/$H76))+(-$BP76*(D76/$H76))+(BP76*(D76/$H76)),AND(A76&gt;=DA$4,B76&gt;=DB$4,$AQ76-SUM($AW76,$AY76:$AZ76)&lt;0),BD76+($BF76*(D76/$H76))+(-$BP76*(D76/$H76))+(BP76*(D76/$H76)),AND(A76&gt;=DA$4,D76&lt;BD76+$BF76-$BP76),D76,AND(A76&gt;=DA$4,$AP76-SUM($AW76,$AY76:$AZ76)&lt;0),BD76+($BF76*(D76/$H76))+(-$BP76*(D76/$H76))+(BP76*(D76/$H76)),A76&gt;=DA$4,BD76+$BF76-$BP76)</f>
        <v>0</v>
      </c>
      <c r="BI76" s="1" cm="1">
        <f t="array" ref="BI76">_xlfn.IFS(OR(F76=0,B76&lt;DB$4),0,AND(A76&gt;=DA$4,B76&gt;=DB$4,F76&lt;BE76+($BF76*(F76/$H76))+(-$BP76*(F76/$H76))),F76,AND(A76&gt;=DA$4,B76&gt;=DB$4,$BB76&gt;$BG76),BE76+($BF76*(F76/$H76))+(-$BP76*(F76/$H76)),AND(A76&gt;=DA$4,B76&gt;=DB$4,OR(A76&gt;DA$6, B76&gt;DB$6),$AP76-SUM($AW76,$AY76:$AZ76)&lt;0),BE76+($BF76*(F76/$H76))+(-$BP76*(F76/$H76))+(BP76*(F76/$H76)),AND(A76&gt;=DA$4,B76&gt;=DB$4,$AQ76-SUM($AW76,$AY76:$AZ76)&lt;0),BE76+($BF76*(F76/$H76))+(-$BP76*(F76/$H76))+(BP76*(F76/$H76)),AND(B76&gt;=DB$4,F76&lt;BE76+$BF76-$BP76),F76,AND(B76&gt;=DB$4,$AP76-SUM($AW76,$AY76:$AZ76)&lt;0),BE76+($BF76*(F76/$H76))+(-$BP76*(F76/$H76))+(BP76*(F76/$H76)),B76&gt;=DB$4,BE76+$BF76-$BP76)</f>
        <v>0</v>
      </c>
      <c r="BJ76" s="64" cm="1">
        <f t="array" ref="BJ76">IF(AW76+BA76+BG76&gt;0, AW76+BA76+BG76-_xlfn.IFS(AND(A76&gt;=65,B76&gt;=65),VLOOKUP(Setup!I$4,Lookups!C$133:F$136,4),OR(A76&gt;=65,B76&gt;=65),VLOOKUP(Setup!I$4,Lookups!C$133:E$136,3),AND(A76&lt;65,B76&lt;65),VLOOKUP(Setup!I$4,Lookups!C$133:D$136,2)),0)</f>
        <v>0</v>
      </c>
      <c r="BK76" s="1" cm="1">
        <f t="array" ref="BK76">IF(BJ76&gt;0,_xlfn.IFS(Setup!I$4=Lookups!D$109,-_xlfn.IFS($BJ76&gt;=Lookups!D$157, Lookups!F$157+($BJ76-Lookups!D$157)*Lookups!G$157,$BJ76&gt;=Lookups!D$156, Lookups!F$156+($BJ76-Lookups!D$156)*Lookups!G$156,$BJ76&gt;=Lookups!D$155, Lookups!F$155+($BJ76-Lookups!D$155)*Lookups!G$155,$BJ76&gt;=Lookups!D$154, Lookups!F$154+($BJ76-Lookups!D$154)*Lookups!G$154,$BJ76&gt;=Lookups!D$153, Lookups!F$153+($BJ76-Lookups!D$153)*Lookups!G$153,$BJ76&gt;=Lookups!D$152, Lookups!F$152+($BJ76-Lookups!D$152)*Lookups!G$152,$BJ76&lt;Lookups!D$152,$BJ76*Lookups!G$151),Setup!I$4=Lookups!D$110,-_xlfn.IFS($BJ76&gt;=Lookups!D$167, Lookups!F$167+($BJ76-Lookups!D$167)*Lookups!G$167,$BJ76&gt;=Lookups!D$166, Lookups!F$166+($BJ76-Lookups!D$166)*Lookups!G$166,$BJ76&gt;=Lookups!D$165, Lookups!F$165+($BJ76-Lookups!D$165)*Lookups!G$165,$BJ76&gt;=Lookups!D$164, Lookups!F$164+($BJ76-Lookups!D$164)*Lookups!G$164,$BJ76&gt;=Lookups!D$163, Lookups!F$163+($BJ76-Lookups!D$163)*Lookups!G$163,$BJ76&gt;=Lookups!D$162, Lookups!F$162+($BJ76-Lookups!D$162)*Lookups!G$162,$BJ76&lt;Lookups!D$162,$BJ76*Lookups!G$161),Setup!I$4=Lookups!D$111,-_xlfn.IFS($BJ76&gt;=Lookups!D$177, Lookups!F$177+($BJ76-Lookups!D$177)*Lookups!G$177,$BJ76&gt;=Lookups!D$176, Lookups!F$176+($BJ76-Lookups!D$176)*Lookups!G$176,$BJ76&gt;=Lookups!D$175, Lookups!F$175+($BJ76-Lookups!D$175)*Lookups!G$175,$BJ76&gt;=Lookups!D$174, Lookups!F$174+($BJ76-Lookups!D$174)*Lookups!G$174,$BJ76&gt;=Lookups!D$173, Lookups!F$173+($BJ76-Lookups!D$173)*Lookups!G$173,$BJ76&gt;=Lookups!D$172, Lookups!F$172+($BJ76-Lookups!D$172)*Lookups!G$172,$BJ76&lt;Lookups!D$172,$BJ76*Lookups!G$171), Setup!I$4=Lookups!D$112,-_xlfn.IFS($BJ76&gt;=Lookups!D$187, Lookups!F$187+($BJ76-Lookups!D$187)*Lookups!G$187,$BJ76&gt;=Lookups!D$186, Lookups!F$186+($BJ76-Lookups!D$186)*Lookups!G$186,$BJ76&gt;=Lookups!D$185, Lookups!F$185+($BJ76-Lookups!D$185)*Lookups!G$185,$BJ76&gt;=Lookups!D$184, Lookups!F$184+($BJ76-Lookups!D$184)*Lookups!G$184,$BJ76&gt;=Lookups!D$183, Lookups!F$183+($BJ76-Lookups!D$183)*Lookups!G$183,$BJ76&gt;=Lookups!D$182, Lookups!F$182+($BJ76-Lookups!D$182)*Lookups!G$182,$BJ76&lt;Lookups!D$182,$BJ76*Lookups!G$181)),0)</f>
        <v>0</v>
      </c>
      <c r="BL76" s="18">
        <f t="shared" si="76"/>
        <v>0</v>
      </c>
      <c r="BM76" s="134">
        <f t="shared" si="67"/>
        <v>0</v>
      </c>
      <c r="BN76" s="134" cm="1">
        <f t="array" aca="1" ref="BN76" ca="1">INDIRECT(Setup!I$6&amp;"!"&amp;"A"&amp;ROW())</f>
        <v>0</v>
      </c>
      <c r="BO76" s="134">
        <f t="shared" si="84"/>
        <v>0</v>
      </c>
      <c r="BP76" s="1">
        <f t="shared" si="77"/>
        <v>0</v>
      </c>
      <c r="BQ76" s="1">
        <f t="shared" si="85"/>
        <v>0</v>
      </c>
      <c r="BS76" s="1">
        <f t="shared" si="86"/>
        <v>0</v>
      </c>
      <c r="BT76" s="1" cm="1">
        <f t="array" ref="BT76">-IF(BS76&gt;0,_xlfn.IFS((AW76+BA76+BG76+BS76)&gt;=VLOOKUP(Setup!I$4,Lookups!C$210:E$213,3),BS76*Lookups!D$203,(AW76+BA76+BG76+BS76)&gt;=VLOOKUP(Setup!I$4,Lookups!C$210:E$213,2),BS76*Lookups!D$197,(AW76+BA76+BG76+BS76)&lt;VLOOKUP(Setup!I$4,Lookups!C$210:E$213,2),0),0)</f>
        <v>0</v>
      </c>
      <c r="BU76" s="18">
        <f t="shared" si="87"/>
        <v>0</v>
      </c>
      <c r="BV76" s="1">
        <f t="shared" si="88"/>
        <v>0</v>
      </c>
      <c r="BW76" s="1" cm="1">
        <f t="array" aca="1" ref="BW76" ca="1">INDIRECT(Setup!I$6&amp;"!"&amp;"A"&amp;ROW()+100)</f>
        <v>0</v>
      </c>
      <c r="BX76" s="1">
        <f t="shared" ca="1" si="78"/>
        <v>0</v>
      </c>
      <c r="BY76" s="1">
        <f t="shared" ca="1" si="79"/>
        <v>0</v>
      </c>
      <c r="CA76" s="1">
        <f t="shared" si="91"/>
        <v>0</v>
      </c>
      <c r="CC76" s="1" cm="1">
        <f t="array" ref="CC76">_xlfn.IFS(AND(A76&lt;$DA$4,B76&lt;$DB$4),0,AND(AND(A76&gt;=$DA$4,B76&gt;=$DB$4),AND(A76&lt;=$DA$6,B76&lt;=$DB$6),AND(BH76=0,BI76=0)),SUM(AW76,AY76:AZ76,BD76:BF76,BP76,BS76,CA76)-AQ76,AND(AND(A76&gt;=$DA$4,B76&gt;=$DB$4),AND(A76&lt;=$DA$6,B76&lt;=$DB$6)),SUM(AW76,AY76:AZ76,BD76:BF76,BS76,CA76)-AQ76,AND(OR(A76&gt;=$DA$4,B76&gt;=$DB$4),AND(BH76=0,BI76=0)),SUM(AW76,AY76:AZ76,BD76:BF76,BP76,BS76,CA76)-AP76,OR(A76&gt;=$DA$4,B76&gt;=$DB$4),SUM(AW76,AY76:AZ76,BD76:BF76,BS76,CA76)-AP76)</f>
        <v>0</v>
      </c>
      <c r="CD76" s="142" t="str">
        <f t="shared" si="89"/>
        <v/>
      </c>
    </row>
    <row r="77" spans="1:82" x14ac:dyDescent="0.3">
      <c r="A77" s="354">
        <f t="shared" si="68"/>
        <v>70</v>
      </c>
      <c r="B77" s="354">
        <f t="shared" si="69"/>
        <v>70</v>
      </c>
      <c r="C77" s="359">
        <f t="shared" si="90"/>
        <v>25569</v>
      </c>
      <c r="D77" s="326" cm="1">
        <f t="array" ref="D77">_xlfn.IFS(AND(A77&gt;DA$6,B77&gt;DB$6),0,AND(A77&gt;DA$3,A77&lt;=DA$4),D76*(1+DH$1),OR(A77&gt;DA$6,A77&gt;DA$4),(D76-BH76)*(1+DH$2),A77&lt;=DA$4,(D76*(1+DH$1))+(D$4))</f>
        <v>0</v>
      </c>
      <c r="E77" s="375"/>
      <c r="F77" s="326" cm="1">
        <f t="array" ref="F77">_xlfn.IFS(AND(A77&gt;DA$6,B77&gt;DB$6),0,AND(B77&gt;DB$3,B77&lt;=DB$4),F76*(1+DH$1),OR(B77&gt;DB$6,B77&gt;DB$4),(F76-BI76)*(1+DH$2),B77&lt;=DB$4,(F76*(1+DH$1))+(F$4))</f>
        <v>0</v>
      </c>
      <c r="G77" s="375"/>
      <c r="H77" s="1">
        <f t="shared" ref="H77:H86" si="93">SUM(D77,F77)</f>
        <v>0</v>
      </c>
      <c r="I77" s="2">
        <f t="shared" si="70"/>
        <v>0</v>
      </c>
      <c r="J77" s="14">
        <f t="shared" ref="J77:J86" si="94">SUM(E77,G77)</f>
        <v>0</v>
      </c>
      <c r="L77" s="402" cm="1">
        <f t="array" ref="L77">_xlfn.IFS(AND(A77&gt;DA$6,B77&gt;DB$6),0,A77&lt;DA$6,0,A77=DA$6,L$4,AND(A77&gt;DA$6,B77&lt;=DB$4),L76*(1+DH$1),AND(A77&gt;DA$6,B77&gt;DB$4),IF(Y76=0,0,(L76-((L76/Y76)*BY76))*(1+DH$2)))</f>
        <v>0</v>
      </c>
      <c r="M77" s="402" cm="1">
        <f t="array" ref="M77">_xlfn.IFS(AND(A77&gt;DA$6,B77&gt;DB$6),0,B77&lt;DB$6,0,B77=DB$6,M$4,AND(B77&gt;DB$6,A77&lt;=DA$4),M76*(1+DH$1),AND(A77&gt;DA$4,B77&gt;DB$6),IF(Y76=0,0,(M76-((M76/Y76)*BY76))*(1+DH$2)))</f>
        <v>0</v>
      </c>
      <c r="N77" s="327"/>
      <c r="O77" s="327" cm="1">
        <f t="array" ref="O77">_xlfn.IFS(OR(ISBLANK(Setup!C$63),Setup!C$63&gt;YEAR(C77),AND(A77&gt;DA$6,B77&gt;DB$6),ISBLANK(Y76)),0,Setup!C$63=YEAR(C77),Setup!C$62,AND(OR(A77&lt;=DA$4,B77&lt;=DB$4),Setup!C$63&lt;YEAR(C77)),O76*(1+DH$1),AND(A77&gt;DA$4,B77&gt;DB$4,Setup!C$63&lt;YEAR(C77)),IF(Y76=0,0,(O76-((O76/Y76)*BY76))*(1+DH$2)))</f>
        <v>0</v>
      </c>
      <c r="P77" s="327" cm="1">
        <f t="array" ref="P77">_xlfn.IFS(OR(ISBLANK(Setup!C$67),Setup!C$67&gt;YEAR(C77),AND(A77&gt;DA$6,B77&gt;DB$6)),0,Setup!C$67=YEAR(C77),Setup!C$66,AND(OR(A77&lt;=DA$4,B77&lt;=DB$4),Setup!C$67&lt;YEAR(C77)),P76*(1+DH$1),AND(A77&gt;DA$4,B77&gt;DB$4,Setup!C$67&lt;YEAR(C77)),IF(Y76=0,0,(P76-((P76/Y76)*BY76))*(1+DH$2)))</f>
        <v>0</v>
      </c>
      <c r="Q77" s="327" cm="1">
        <f t="array" ref="Q77">_xlfn.IFS(OR(ISBLANK(Setup!C$71),Setup!C$71&gt;YEAR(C77),AND(A77&gt;DA$6,B77&gt;DB$6)),0,Setup!C$71=YEAR(C77),Setup!C$70,AND(OR(A77&lt;=DA$4,B77&lt;=DB$4),Setup!C$71&lt;YEAR(C77)),Q76*(1+DH$1),AND(A77&gt;DA$4,B77&gt;DB$4,Setup!C$71&lt;YEAR(C77)),IF(Y76=0,0,(Q76-((Q76/Y76)*BY76))*(1+DH$2)))</f>
        <v>0</v>
      </c>
      <c r="R77" s="327" cm="1">
        <f t="array" ref="R77">_xlfn.IFS(OR(ISBLANK(Setup!C$75),Setup!C$75&gt;YEAR(C77),AND(A77&gt;DA$6,B77&gt;DB$6)),0,Setup!C$75=YEAR(C77),Setup!C$74,AND(OR(A77&lt;=DA$4,B77&lt;=DB$4),Setup!C$75&lt;YEAR(C77)),R76*(1+DH$1),AND(A77&gt;DA$4,B77&gt;DB$4,Setup!C$75&lt;YEAR(C77)),IF(Y76=0,0,(R76-((R76/Y76)*BY76))*(1+DH$2)))</f>
        <v>0</v>
      </c>
      <c r="S77" s="327"/>
      <c r="T77" s="326" cm="1">
        <f t="array" ref="T77">_xlfn.IFS(AND($A77&gt;$DA$6,$B77&gt;$DB$6),0,AND($W$2=$DA$2,$A77&gt;$DA$4),IF($Y76=0,0,(T76-((T76/$Y76)*$BY76))*(1+$DH$2)),AND($W$2=$DB$2,$B77&gt;$DB$4),IF($Y76=0,0,(T76-((T76/$Y76)*$BY76))*(1+$DH$2)),AND($W$2=$DA$2,OR($A77&gt;$DA$3,$A77&gt;$DA$6)),(T76*(1+$DH$1)),AND($W$2=$DB$2,OR($B77&gt;$DB$3,$B77&gt;$DB$6)),(T76*(1+$DH$1)),AND($W$2=$DA$2,$A77&lt;=$DA$3,$A77&lt;=$DA$4,$A77&lt;=$DA$5),(T76*(1+$DH$1))+(T$4),AND($W$2=$DB$2,$B77&lt;=$DB$3,$B77&lt;=$DB$4,$B77&lt;=$DB$5),(T76*(1+$DH$1))+(T$4))</f>
        <v>0</v>
      </c>
      <c r="U77" s="326" cm="1">
        <f t="array" ref="U77">_xlfn.IFS(AND($A77&gt;$DA$6,$B77&gt;$DB$6),0,AND($W$2=$DA$2,$A77&gt;$DA$4),IF($Y76=0,0,(U76-((U76/$Y76)*$BY76))*(1+$DH$2)),AND($W$2=$DB$2,$B77&gt;$DB$4),IF($Y76=0,0,(U76-((U76/$Y76)*$BY76))*(1+$DH$2)),AND($W$2=$DA$2,OR($A77&gt;$DA$3,$A77&gt;$DA$6)),(U76*(1+$DH$1)),AND($W$2=$DB$2,OR($B77&gt;$DB$3,$B77&gt;$DB$6)),(U76*(1+$DH$1)),AND($W$2=$DA$2,$A77&lt;=$DA$3,$A77&lt;=$DA$4,$A77&lt;=$DA$5),(U76*(1+$DH$1))+(U$4),AND($W$2=$DB$2,$B77&lt;=$DB$3,$B77&lt;=$DB$4,$B77&lt;=$DB$5),(U76*(1+$DH$1))+(U$4))</f>
        <v>0</v>
      </c>
      <c r="V77" s="326" cm="1">
        <f t="array" ref="V77">_xlfn.IFS(AND($A77&gt;$DA$6,$B77&gt;$DB$6),0,AND($W$2=$DA$2,$A77&gt;$DA$4),IF($Y76=0,0,(V76-((V76/$Y76)*$BY76))*(1+$DH$2)),AND($W$2=$DB$2,$B77&gt;$DB$4),IF($Y76=0,0,(V76-((V76/$Y76)*$BY76))*(1+$DH$2)),AND($W$2=$DA$2,OR($A77&gt;$DA$3,$A77&gt;$DA$6)),(V76*(1+$DH$1)),AND($W$2=$DB$2,OR($B77&gt;$DB$3,$B77&gt;$DB$6)),(V76*(1+$DH$1)),AND($W$2=$DA$2,$A77&lt;=$DA$3,$A77&lt;=$DA$4,$A77&lt;=$DA$5),(V76*(1+$DH$1))+(V$4),AND($W$2=$DB$2,$B77&lt;=$DB$3,$B77&lt;=$DB$4,$B77&lt;=$DB$5),(V76*(1+$DH$1))+(V$4))</f>
        <v>0</v>
      </c>
      <c r="W77" s="326" cm="1">
        <f t="array" ref="W77">_xlfn.IFS(AND($A77&gt;$DA$6,$B77&gt;$DB$6),0,AND($W$2=$DA$2,$A77&gt;$DA$4),IF($Y76=0,0,(W76-((W76/$Y76)*$BY76))*(1+$DH$2)),AND($W$2=$DB$2,$B77&gt;$DB$4),IF($Y76=0,0,(W76-((W76/$Y76)*$BY76))*(1+$DH$2)),AND($W$2=$DA$2,OR($A77&gt;$DA$3,$A77&gt;$DA$6)),(W76*(1+$DH$1)),AND($W$2=$DB$2,OR($B77&gt;$DB$3,$B77&gt;$DB$6)),(W76*(1+$DH$1)),AND($W$2=$DA$2,$A77&lt;=$DA$3,$A77&lt;=$DA$4,$A77&lt;=$DA$5),(W76*(1+$DH$1))+(W$4),AND($W$2=$DB$2,$B77&lt;=$DB$3,$B77&lt;=$DB$4,$B77&lt;=$DB$5),(W76*(1+$DH$1))+(W$4))</f>
        <v>0</v>
      </c>
      <c r="Y77" s="1">
        <f t="shared" si="80"/>
        <v>0</v>
      </c>
      <c r="Z77" s="2">
        <f t="shared" si="71"/>
        <v>0</v>
      </c>
      <c r="AA77" s="375"/>
      <c r="AC77" s="326" cm="1">
        <f t="array" ref="AC77">_xlfn.IFS(AND(A77&gt;DA$6,B77&gt;DB$6),0,AND(A77&gt;DA$4,B77&gt;DB$4),IF(AG76=0,0,(AC76-((AC76/AG76)*CA76))*(1+DH$2)),OR(A77&gt;DA$3,A77&gt;DA$6),AC76*(1+DH$1),A77&gt;DA$4,(AC76-CA76)*(1+DH$2),AND(A77&lt;=DA$3,A77&lt;=DA$4,A77&lt;=DA$6),(AC76*(1+DH$1))+(AC$4))</f>
        <v>0</v>
      </c>
      <c r="AD77" s="375"/>
      <c r="AE77" s="326" cm="1">
        <f t="array" ref="AE77">_xlfn.IFS(AND(A77&gt;DA$6,B77&gt;DB$6),0,AND(A77&gt;DA$4,B77&gt;DB$4),IF(AG76=0,0,(AE76-((AE76/AG76)*CA76))*(1+DH$2)),OR(B77&gt;DB$3,B77&gt;DB$6),AE76*(1+DH$1),B77&gt;DB$4,(AE76-CA76)*(1+DH$2),AND(B77&lt;=DB$3,B77&lt;=DB$4,B77&lt;=DB$6),(AE76*(1+DH$1))+(AE$4))</f>
        <v>0</v>
      </c>
      <c r="AF77" s="375"/>
      <c r="AG77" s="1">
        <f t="shared" si="92"/>
        <v>0</v>
      </c>
      <c r="AH77" s="2">
        <f t="shared" si="81"/>
        <v>0</v>
      </c>
      <c r="AI77" s="14">
        <f t="shared" si="72"/>
        <v>0</v>
      </c>
      <c r="AK77" s="1">
        <f t="shared" si="82"/>
        <v>0</v>
      </c>
      <c r="AL77" s="14">
        <f t="shared" si="73"/>
        <v>0</v>
      </c>
      <c r="AM77" s="14" t="str">
        <f t="shared" si="83"/>
        <v/>
      </c>
      <c r="AO77" s="15">
        <f t="shared" si="74"/>
        <v>0</v>
      </c>
      <c r="AP77" s="1">
        <f>IF(AND(B77&gt;=$DB$6,A77&gt;=$DA$6),0,AP76*(1+Lookups!C$12))</f>
        <v>0</v>
      </c>
      <c r="AQ77" s="1">
        <f>IF(AND(B77&gt;=$DB$6,A77&gt;=$DA$6),0,AQ76*(1+Lookups!C$12))</f>
        <v>0</v>
      </c>
      <c r="AS77" s="1" cm="1">
        <f t="array" ref="AS77">_xlfn.IFS(OR(AS$6="",AND(A77&gt;=DA$6,B77&gt;=DB$6),AND(A77&lt;DA$4,B77&lt;DB$4)),0,AND(A77=DA$4,DA$4&lt;=DB$4),AS$6,AND(B77=DB$4,DA$4&gt;=DB$4),AS$6,OR(A77&gt;DA$4,B77&gt;DB$4),AS76*(1+Setup!C$103))</f>
        <v>0</v>
      </c>
      <c r="AT77" s="1" cm="1">
        <f t="array" ref="AT77">_xlfn.IFS(OR(AT$6="",AND(A77&gt;=DA$6,B77&gt;=DB$6),AND(A77&lt;DA$4,B77&lt;DB$4)),0,AND(A77=DA$4,DA$4&lt;=DB$4),AT$6,AND(B77=DB$4,DA$4&gt;=DB$4),AT$6,OR(A77&gt;DA$4,B77&gt;DB$4),AT76*(1+Setup!C$103))</f>
        <v>0</v>
      </c>
      <c r="AU77" s="1" cm="1">
        <f t="array" ref="AU77">_xlfn.IFS(OR(AU$6="",AND(A77&gt;=DA$6,B77&gt;=DB$6),AND(A77&lt;DA$4,B77&lt;DB$4)),0,AND(A77=DA$4,DA$4&lt;=DB$4),AU$6,AND(B77=DB$4,DA$4&gt;=DB$4),AU$6,OR(A77&gt;DA$4,B77&gt;DB$4),AU76*(1+Setup!C$103))</f>
        <v>0</v>
      </c>
      <c r="AV77" s="1" cm="1">
        <f t="array" ref="AV77">_xlfn.IFS(OR(AV$6="",AND(A77&gt;=DA$6,B77&gt;=DB$6),AND(A77&lt;DA$4,B77&lt;DB$4)),0,AND(A77=DA$4,DA$4&lt;=DB$4),AV$6,AND(B77=DB$4,DA$4&gt;=DB$4),AV$6,OR(A77&gt;DA$4,B77&gt;DB$4),AV76*(1+Setup!C$103))</f>
        <v>0</v>
      </c>
      <c r="AW77" s="1">
        <f t="shared" si="75"/>
        <v>0</v>
      </c>
      <c r="AY77" s="1" cm="1">
        <f t="array" ref="AY77">_xlfn.IFS(OR(AND(A77&gt;=DA$6,B77&gt;=DB$6),A77&lt;DA$5),0,AND(A77=DA$5,YEAR(C77)&gt;=Lookups!D$89),VLOOKUP(A77,Lookups!B$94:F$102,3),AND(A77=DA$5,YEAR(C77)&lt;Lookups!D$89),VLOOKUP(A77,Lookups!B$94:F$102,2),AND(A77&gt;DA$5,YEAR(C77)=Lookups!D$89),(AY76*Lookups!D$90)*(1+Lookups!C$20),AND(A77&gt;DA$5,YEAR(C77)&lt;&gt;Lookups!D$89),AY76*(1+Lookups!C$20))</f>
        <v>0</v>
      </c>
      <c r="AZ77" s="1" cm="1">
        <f t="array" ref="AZ77">_xlfn.IFS(OR(ISBLANK(Setup!K$91),Setup!K$91=0,AND(A77&gt;=DA$6,B77&gt;=DB$6),B77&lt;DB$5),0,AND(B77=DB$5,YEAR(C77)&gt;=Lookups!D$89),VLOOKUP(B77,Lookups!B$94:F$102,5),AND(B77=DB$5,YEAR(C77)&lt;Lookups!D$89),VLOOKUP(B77,Lookups!B$94:F$102,4),AND(B77&gt;DB$5,YEAR(C77)=Lookups!D$89),(AZ76*Lookups!D$90)*(1+Lookups!C$20),AND(B77&gt;DB$5,YEAR(C77)&lt;&gt;Lookups!D$89),AZ76*(1+Lookups!C$20))</f>
        <v>0</v>
      </c>
      <c r="BA77" s="65">
        <f>IF(OR(AY77&gt;0,AZ77&gt;0),(AY77+AZ77)*Lookups!D$120,0)</f>
        <v>0</v>
      </c>
      <c r="BB77" s="1" cm="1">
        <f t="array" ref="BB77">_xlfn.IFS(AND(A77&lt;DA$4,B77&lt;DB$4),0,OR(_xlfn.XOR(A77&gt;DA$6,B77&gt;DB$6),_xlfn.XOR(A77&gt;=DA$4,B77&gt;=DB$4)),IF(AP77-SUM(AW77,AY77:AZ77)&gt;0,AP77-SUM(AW77,AY77:AZ77),0),AQ77-SUM(AW77,AY77:AZ77)&gt;0, AQ77-SUM(AW77,AY77:AZ77),AQ77-SUM(AW77,AY77:AZ77)&lt;=0,0)</f>
        <v>0</v>
      </c>
      <c r="BD77" s="1" cm="1">
        <f t="array" ref="BD77">_xlfn.IFS(AND(A77&gt;=DA$6,B77&gt;=DB$6),0,AND(A77&gt;=DA$6,B77&gt;=Lookups!C$35),D77/VLOOKUP(B77,Lookups!C$37:D$67,2),A77&lt;Lookups!$C$35,0,A77&gt;=Lookups!C$35,D77/VLOOKUP(A77,Lookups!C$37:D$67,2))</f>
        <v>0</v>
      </c>
      <c r="BE77" s="1" cm="1">
        <f t="array" ref="BE77">_xlfn.IFS(AND(A77&gt;=DA$6,B77&gt;=DB$6),0,AND(B77&gt;=DB$6,A77&gt;=Lookups!C$35),F77/VLOOKUP(A77,Lookups!C$37:D$67,2),B77&lt;Lookups!$C$35,0,B77&gt;=Lookups!C$35,F77/VLOOKUP(B77,Lookups!C$37:D$67,2))</f>
        <v>0</v>
      </c>
      <c r="BF77" s="1" cm="1">
        <f t="array" ref="BF77">_xlfn.IFS($BB77&lt;=0,0,AND(A77&gt;=DA$4,B77&gt;=DB$4,$BB77*I77&lt;(BD77+BE77)),0,AND(A77&gt;=DA$4,B77&gt;=DB$4,H77&gt;=(BB77*I77)-BD77-BE77),(BB77*I77)-BD77-BE77,AND(A77&gt;=DA$4,B77&gt;=DB$4,H77&lt;(BB77*I77)-BD77-BE77),H77,AND(A77&gt;=DA$4,$BB77*I77&lt;(BD77)),0,AND(A77&gt;=DA$4,H77&gt;=(BB77*I77)-BD77),(BB77*I77)-BD77,AND(A77&gt;=DA$4,H77&lt;(BB77*I77)-BD77),H77,AND(B77&gt;=DB$4,$BB77*I77&lt;(BE77)),0,AND(B77&gt;=DB$4,H77&gt;=(BB77*I77)-BE77),(BB77*I77)-BE77,AND(B77&gt;=DB$4,H77&lt;(BB77*I77)-BE77),H77)</f>
        <v>0</v>
      </c>
      <c r="BG77" s="1">
        <f t="shared" si="66"/>
        <v>0</v>
      </c>
      <c r="BH77" s="1" cm="1">
        <f t="array" ref="BH77">_xlfn.IFS(OR(D77=0,A77&lt;DA$4),0,AND(A77&gt;=DA$4,B77&gt;=DB$4,D77&lt;BD77+($BF77*(D77/$H77))+(-$BP77*(D77/$H77))),D77,AND(A77&gt;=DA$4,B77&gt;=DB$4,$BB77&gt;$BG77),BD77+($BF77*(D77/$H77))+(-$BP77*(D77/$H77)),AND(A77&gt;=DA$4,B77&gt;=DB$4,OR(A77&gt;DA$6, B77&gt;DB$6),$AP77-SUM($AW77,$AY77:$AZ77)&lt;0),BD77+($BF77*(D77/$H77))+(-$BP77*(D77/$H77))+(BP77*(D77/$H77)),AND(A77&gt;=DA$4,B77&gt;=DB$4,$AQ77-SUM($AW77,$AY77:$AZ77)&lt;0),BD77+($BF77*(D77/$H77))+(-$BP77*(D77/$H77))+(BP77*(D77/$H77)),AND(A77&gt;=DA$4,D77&lt;BD77+$BF77-$BP77),D77,AND(A77&gt;=DA$4,$AP77-SUM($AW77,$AY77:$AZ77)&lt;0),BD77+($BF77*(D77/$H77))+(-$BP77*(D77/$H77))+(BP77*(D77/$H77)),A77&gt;=DA$4,BD77+$BF77-$BP77)</f>
        <v>0</v>
      </c>
      <c r="BI77" s="1" cm="1">
        <f t="array" ref="BI77">_xlfn.IFS(OR(F77=0,B77&lt;DB$4),0,AND(A77&gt;=DA$4,B77&gt;=DB$4,F77&lt;BE77+($BF77*(F77/$H77))+(-$BP77*(F77/$H77))),F77,AND(A77&gt;=DA$4,B77&gt;=DB$4,$BB77&gt;$BG77),BE77+($BF77*(F77/$H77))+(-$BP77*(F77/$H77)),AND(A77&gt;=DA$4,B77&gt;=DB$4,OR(A77&gt;DA$6, B77&gt;DB$6),$AP77-SUM($AW77,$AY77:$AZ77)&lt;0),BE77+($BF77*(F77/$H77))+(-$BP77*(F77/$H77))+(BP77*(F77/$H77)),AND(A77&gt;=DA$4,B77&gt;=DB$4,$AQ77-SUM($AW77,$AY77:$AZ77)&lt;0),BE77+($BF77*(F77/$H77))+(-$BP77*(F77/$H77))+(BP77*(F77/$H77)),AND(B77&gt;=DB$4,F77&lt;BE77+$BF77-$BP77),F77,AND(B77&gt;=DB$4,$AP77-SUM($AW77,$AY77:$AZ77)&lt;0),BE77+($BF77*(F77/$H77))+(-$BP77*(F77/$H77))+(BP77*(F77/$H77)),B77&gt;=DB$4,BE77+$BF77-$BP77)</f>
        <v>0</v>
      </c>
      <c r="BJ77" s="64" cm="1">
        <f t="array" ref="BJ77">IF(AW77+BA77+BG77&gt;0, AW77+BA77+BG77-_xlfn.IFS(AND(A77&gt;=65,B77&gt;=65),VLOOKUP(Setup!I$4,Lookups!C$133:F$136,4),OR(A77&gt;=65,B77&gt;=65),VLOOKUP(Setup!I$4,Lookups!C$133:E$136,3),AND(A77&lt;65,B77&lt;65),VLOOKUP(Setup!I$4,Lookups!C$133:D$136,2)),0)</f>
        <v>0</v>
      </c>
      <c r="BK77" s="1" cm="1">
        <f t="array" ref="BK77">IF(BJ77&gt;0,_xlfn.IFS(Setup!I$4=Lookups!D$109,-_xlfn.IFS($BJ77&gt;=Lookups!D$157, Lookups!F$157+($BJ77-Lookups!D$157)*Lookups!G$157,$BJ77&gt;=Lookups!D$156, Lookups!F$156+($BJ77-Lookups!D$156)*Lookups!G$156,$BJ77&gt;=Lookups!D$155, Lookups!F$155+($BJ77-Lookups!D$155)*Lookups!G$155,$BJ77&gt;=Lookups!D$154, Lookups!F$154+($BJ77-Lookups!D$154)*Lookups!G$154,$BJ77&gt;=Lookups!D$153, Lookups!F$153+($BJ77-Lookups!D$153)*Lookups!G$153,$BJ77&gt;=Lookups!D$152, Lookups!F$152+($BJ77-Lookups!D$152)*Lookups!G$152,$BJ77&lt;Lookups!D$152,$BJ77*Lookups!G$151),Setup!I$4=Lookups!D$110,-_xlfn.IFS($BJ77&gt;=Lookups!D$167, Lookups!F$167+($BJ77-Lookups!D$167)*Lookups!G$167,$BJ77&gt;=Lookups!D$166, Lookups!F$166+($BJ77-Lookups!D$166)*Lookups!G$166,$BJ77&gt;=Lookups!D$165, Lookups!F$165+($BJ77-Lookups!D$165)*Lookups!G$165,$BJ77&gt;=Lookups!D$164, Lookups!F$164+($BJ77-Lookups!D$164)*Lookups!G$164,$BJ77&gt;=Lookups!D$163, Lookups!F$163+($BJ77-Lookups!D$163)*Lookups!G$163,$BJ77&gt;=Lookups!D$162, Lookups!F$162+($BJ77-Lookups!D$162)*Lookups!G$162,$BJ77&lt;Lookups!D$162,$BJ77*Lookups!G$161),Setup!I$4=Lookups!D$111,-_xlfn.IFS($BJ77&gt;=Lookups!D$177, Lookups!F$177+($BJ77-Lookups!D$177)*Lookups!G$177,$BJ77&gt;=Lookups!D$176, Lookups!F$176+($BJ77-Lookups!D$176)*Lookups!G$176,$BJ77&gt;=Lookups!D$175, Lookups!F$175+($BJ77-Lookups!D$175)*Lookups!G$175,$BJ77&gt;=Lookups!D$174, Lookups!F$174+($BJ77-Lookups!D$174)*Lookups!G$174,$BJ77&gt;=Lookups!D$173, Lookups!F$173+($BJ77-Lookups!D$173)*Lookups!G$173,$BJ77&gt;=Lookups!D$172, Lookups!F$172+($BJ77-Lookups!D$172)*Lookups!G$172,$BJ77&lt;Lookups!D$172,$BJ77*Lookups!G$171), Setup!I$4=Lookups!D$112,-_xlfn.IFS($BJ77&gt;=Lookups!D$187, Lookups!F$187+($BJ77-Lookups!D$187)*Lookups!G$187,$BJ77&gt;=Lookups!D$186, Lookups!F$186+($BJ77-Lookups!D$186)*Lookups!G$186,$BJ77&gt;=Lookups!D$185, Lookups!F$185+($BJ77-Lookups!D$185)*Lookups!G$185,$BJ77&gt;=Lookups!D$184, Lookups!F$184+($BJ77-Lookups!D$184)*Lookups!G$184,$BJ77&gt;=Lookups!D$183, Lookups!F$183+($BJ77-Lookups!D$183)*Lookups!G$183,$BJ77&gt;=Lookups!D$182, Lookups!F$182+($BJ77-Lookups!D$182)*Lookups!G$182,$BJ77&lt;Lookups!D$182,$BJ77*Lookups!G$181)),0)</f>
        <v>0</v>
      </c>
      <c r="BL77" s="18">
        <f t="shared" si="76"/>
        <v>0</v>
      </c>
      <c r="BM77" s="134">
        <f t="shared" si="67"/>
        <v>0</v>
      </c>
      <c r="BN77" s="134" cm="1">
        <f t="array" aca="1" ref="BN77" ca="1">INDIRECT(Setup!I$6&amp;"!"&amp;"A"&amp;ROW())</f>
        <v>0</v>
      </c>
      <c r="BO77" s="134">
        <f t="shared" si="84"/>
        <v>0</v>
      </c>
      <c r="BP77" s="1">
        <f t="shared" si="77"/>
        <v>0</v>
      </c>
      <c r="BQ77" s="1">
        <f t="shared" si="85"/>
        <v>0</v>
      </c>
      <c r="BS77" s="1">
        <f t="shared" si="86"/>
        <v>0</v>
      </c>
      <c r="BT77" s="1" cm="1">
        <f t="array" ref="BT77">-IF(BS77&gt;0,_xlfn.IFS((AW77+BA77+BG77+BS77)&gt;=VLOOKUP(Setup!I$4,Lookups!C$210:E$213,3),BS77*Lookups!D$203,(AW77+BA77+BG77+BS77)&gt;=VLOOKUP(Setup!I$4,Lookups!C$210:E$213,2),BS77*Lookups!D$197,(AW77+BA77+BG77+BS77)&lt;VLOOKUP(Setup!I$4,Lookups!C$210:E$213,2),0),0)</f>
        <v>0</v>
      </c>
      <c r="BU77" s="18">
        <f t="shared" si="87"/>
        <v>0</v>
      </c>
      <c r="BV77" s="1">
        <f t="shared" si="88"/>
        <v>0</v>
      </c>
      <c r="BW77" s="1" cm="1">
        <f t="array" aca="1" ref="BW77" ca="1">INDIRECT(Setup!I$6&amp;"!"&amp;"A"&amp;ROW()+100)</f>
        <v>0</v>
      </c>
      <c r="BX77" s="1">
        <f t="shared" ca="1" si="78"/>
        <v>0</v>
      </c>
      <c r="BY77" s="1">
        <f t="shared" ca="1" si="79"/>
        <v>0</v>
      </c>
      <c r="CA77" s="1">
        <f t="shared" si="91"/>
        <v>0</v>
      </c>
      <c r="CC77" s="1" cm="1">
        <f t="array" ref="CC77">_xlfn.IFS(AND(A77&lt;$DA$4,B77&lt;$DB$4),0,AND(AND(A77&gt;=$DA$4,B77&gt;=$DB$4),AND(A77&lt;=$DA$6,B77&lt;=$DB$6),AND(BH77=0,BI77=0)),SUM(AW77,AY77:AZ77,BD77:BF77,BP77,BS77,CA77)-AQ77,AND(AND(A77&gt;=$DA$4,B77&gt;=$DB$4),AND(A77&lt;=$DA$6,B77&lt;=$DB$6)),SUM(AW77,AY77:AZ77,BD77:BF77,BS77,CA77)-AQ77,AND(OR(A77&gt;=$DA$4,B77&gt;=$DB$4),AND(BH77=0,BI77=0)),SUM(AW77,AY77:AZ77,BD77:BF77,BP77,BS77,CA77)-AP77,OR(A77&gt;=$DA$4,B77&gt;=$DB$4),SUM(AW77,AY77:AZ77,BD77:BF77,BS77,CA77)-AP77)</f>
        <v>0</v>
      </c>
      <c r="CD77" s="142" t="str">
        <f t="shared" si="89"/>
        <v/>
      </c>
    </row>
    <row r="78" spans="1:82" x14ac:dyDescent="0.3">
      <c r="A78" s="354">
        <f t="shared" si="68"/>
        <v>71</v>
      </c>
      <c r="B78" s="354">
        <f t="shared" si="69"/>
        <v>71</v>
      </c>
      <c r="C78" s="359">
        <f t="shared" si="90"/>
        <v>25934</v>
      </c>
      <c r="D78" s="326" cm="1">
        <f t="array" ref="D78">_xlfn.IFS(AND(A78&gt;DA$6,B78&gt;DB$6),0,AND(A78&gt;DA$3,A78&lt;=DA$4),D77*(1+DH$1),OR(A78&gt;DA$6,A78&gt;DA$4),(D77-BH77)*(1+DH$2),A78&lt;=DA$4,(D77*(1+DH$1))+(D$4))</f>
        <v>0</v>
      </c>
      <c r="E78" s="375"/>
      <c r="F78" s="326" cm="1">
        <f t="array" ref="F78">_xlfn.IFS(AND(A78&gt;DA$6,B78&gt;DB$6),0,AND(B78&gt;DB$3,B78&lt;=DB$4),F77*(1+DH$1),OR(B78&gt;DB$6,B78&gt;DB$4),(F77-BI77)*(1+DH$2),B78&lt;=DB$4,(F77*(1+DH$1))+(F$4))</f>
        <v>0</v>
      </c>
      <c r="G78" s="375"/>
      <c r="H78" s="1">
        <f t="shared" si="93"/>
        <v>0</v>
      </c>
      <c r="I78" s="2">
        <f t="shared" si="70"/>
        <v>0</v>
      </c>
      <c r="J78" s="14">
        <f t="shared" si="94"/>
        <v>0</v>
      </c>
      <c r="L78" s="402" cm="1">
        <f t="array" ref="L78">_xlfn.IFS(AND(A78&gt;DA$6,B78&gt;DB$6),0,A78&lt;DA$6,0,A78=DA$6,L$4,AND(A78&gt;DA$6,B78&lt;=DB$4),L77*(1+DH$1),AND(A78&gt;DA$6,B78&gt;DB$4),IF(Y77=0,0,(L77-((L77/Y77)*BY77))*(1+DH$2)))</f>
        <v>0</v>
      </c>
      <c r="M78" s="402" cm="1">
        <f t="array" ref="M78">_xlfn.IFS(AND(A78&gt;DA$6,B78&gt;DB$6),0,B78&lt;DB$6,0,B78=DB$6,M$4,AND(B78&gt;DB$6,A78&lt;=DA$4),M77*(1+DH$1),AND(A78&gt;DA$4,B78&gt;DB$6),IF(Y77=0,0,(M77-((M77/Y77)*BY77))*(1+DH$2)))</f>
        <v>0</v>
      </c>
      <c r="N78" s="327"/>
      <c r="O78" s="327" cm="1">
        <f t="array" ref="O78">_xlfn.IFS(OR(ISBLANK(Setup!C$63),Setup!C$63&gt;YEAR(C78),AND(A78&gt;DA$6,B78&gt;DB$6),ISBLANK(Y77)),0,Setup!C$63=YEAR(C78),Setup!C$62,AND(OR(A78&lt;=DA$4,B78&lt;=DB$4),Setup!C$63&lt;YEAR(C78)),O77*(1+DH$1),AND(A78&gt;DA$4,B78&gt;DB$4,Setup!C$63&lt;YEAR(C78)),IF(Y77=0,0,(O77-((O77/Y77)*BY77))*(1+DH$2)))</f>
        <v>0</v>
      </c>
      <c r="P78" s="327" cm="1">
        <f t="array" ref="P78">_xlfn.IFS(OR(ISBLANK(Setup!C$67),Setup!C$67&gt;YEAR(C78),AND(A78&gt;DA$6,B78&gt;DB$6)),0,Setup!C$67=YEAR(C78),Setup!C$66,AND(OR(A78&lt;=DA$4,B78&lt;=DB$4),Setup!C$67&lt;YEAR(C78)),P77*(1+DH$1),AND(A78&gt;DA$4,B78&gt;DB$4,Setup!C$67&lt;YEAR(C78)),IF(Y77=0,0,(P77-((P77/Y77)*BY77))*(1+DH$2)))</f>
        <v>0</v>
      </c>
      <c r="Q78" s="327" cm="1">
        <f t="array" ref="Q78">_xlfn.IFS(OR(ISBLANK(Setup!C$71),Setup!C$71&gt;YEAR(C78),AND(A78&gt;DA$6,B78&gt;DB$6)),0,Setup!C$71=YEAR(C78),Setup!C$70,AND(OR(A78&lt;=DA$4,B78&lt;=DB$4),Setup!C$71&lt;YEAR(C78)),Q77*(1+DH$1),AND(A78&gt;DA$4,B78&gt;DB$4,Setup!C$71&lt;YEAR(C78)),IF(Y77=0,0,(Q77-((Q77/Y77)*BY77))*(1+DH$2)))</f>
        <v>0</v>
      </c>
      <c r="R78" s="327" cm="1">
        <f t="array" ref="R78">_xlfn.IFS(OR(ISBLANK(Setup!C$75),Setup!C$75&gt;YEAR(C78),AND(A78&gt;DA$6,B78&gt;DB$6)),0,Setup!C$75=YEAR(C78),Setup!C$74,AND(OR(A78&lt;=DA$4,B78&lt;=DB$4),Setup!C$75&lt;YEAR(C78)),R77*(1+DH$1),AND(A78&gt;DA$4,B78&gt;DB$4,Setup!C$75&lt;YEAR(C78)),IF(Y77=0,0,(R77-((R77/Y77)*BY77))*(1+DH$2)))</f>
        <v>0</v>
      </c>
      <c r="S78" s="327"/>
      <c r="T78" s="326" cm="1">
        <f t="array" ref="T78">_xlfn.IFS(AND($A78&gt;$DA$6,$B78&gt;$DB$6),0,AND($W$2=$DA$2,$A78&gt;$DA$4),IF($Y77=0,0,(T77-((T77/$Y77)*$BY77))*(1+$DH$2)),AND($W$2=$DB$2,$B78&gt;$DB$4),IF($Y77=0,0,(T77-((T77/$Y77)*$BY77))*(1+$DH$2)),AND($W$2=$DA$2,OR($A78&gt;$DA$3,$A78&gt;$DA$6)),(T77*(1+$DH$1)),AND($W$2=$DB$2,OR($B78&gt;$DB$3,$B78&gt;$DB$6)),(T77*(1+$DH$1)),AND($W$2=$DA$2,$A78&lt;=$DA$3,$A78&lt;=$DA$4,$A78&lt;=$DA$5),(T77*(1+$DH$1))+(T$4),AND($W$2=$DB$2,$B78&lt;=$DB$3,$B78&lt;=$DB$4,$B78&lt;=$DB$5),(T77*(1+$DH$1))+(T$4))</f>
        <v>0</v>
      </c>
      <c r="U78" s="326" cm="1">
        <f t="array" ref="U78">_xlfn.IFS(AND($A78&gt;$DA$6,$B78&gt;$DB$6),0,AND($W$2=$DA$2,$A78&gt;$DA$4),IF($Y77=0,0,(U77-((U77/$Y77)*$BY77))*(1+$DH$2)),AND($W$2=$DB$2,$B78&gt;$DB$4),IF($Y77=0,0,(U77-((U77/$Y77)*$BY77))*(1+$DH$2)),AND($W$2=$DA$2,OR($A78&gt;$DA$3,$A78&gt;$DA$6)),(U77*(1+$DH$1)),AND($W$2=$DB$2,OR($B78&gt;$DB$3,$B78&gt;$DB$6)),(U77*(1+$DH$1)),AND($W$2=$DA$2,$A78&lt;=$DA$3,$A78&lt;=$DA$4,$A78&lt;=$DA$5),(U77*(1+$DH$1))+(U$4),AND($W$2=$DB$2,$B78&lt;=$DB$3,$B78&lt;=$DB$4,$B78&lt;=$DB$5),(U77*(1+$DH$1))+(U$4))</f>
        <v>0</v>
      </c>
      <c r="V78" s="326" cm="1">
        <f t="array" ref="V78">_xlfn.IFS(AND($A78&gt;$DA$6,$B78&gt;$DB$6),0,AND($W$2=$DA$2,$A78&gt;$DA$4),IF($Y77=0,0,(V77-((V77/$Y77)*$BY77))*(1+$DH$2)),AND($W$2=$DB$2,$B78&gt;$DB$4),IF($Y77=0,0,(V77-((V77/$Y77)*$BY77))*(1+$DH$2)),AND($W$2=$DA$2,OR($A78&gt;$DA$3,$A78&gt;$DA$6)),(V77*(1+$DH$1)),AND($W$2=$DB$2,OR($B78&gt;$DB$3,$B78&gt;$DB$6)),(V77*(1+$DH$1)),AND($W$2=$DA$2,$A78&lt;=$DA$3,$A78&lt;=$DA$4,$A78&lt;=$DA$5),(V77*(1+$DH$1))+(V$4),AND($W$2=$DB$2,$B78&lt;=$DB$3,$B78&lt;=$DB$4,$B78&lt;=$DB$5),(V77*(1+$DH$1))+(V$4))</f>
        <v>0</v>
      </c>
      <c r="W78" s="326" cm="1">
        <f t="array" ref="W78">_xlfn.IFS(AND($A78&gt;$DA$6,$B78&gt;$DB$6),0,AND($W$2=$DA$2,$A78&gt;$DA$4),IF($Y77=0,0,(W77-((W77/$Y77)*$BY77))*(1+$DH$2)),AND($W$2=$DB$2,$B78&gt;$DB$4),IF($Y77=0,0,(W77-((W77/$Y77)*$BY77))*(1+$DH$2)),AND($W$2=$DA$2,OR($A78&gt;$DA$3,$A78&gt;$DA$6)),(W77*(1+$DH$1)),AND($W$2=$DB$2,OR($B78&gt;$DB$3,$B78&gt;$DB$6)),(W77*(1+$DH$1)),AND($W$2=$DA$2,$A78&lt;=$DA$3,$A78&lt;=$DA$4,$A78&lt;=$DA$5),(W77*(1+$DH$1))+(W$4),AND($W$2=$DB$2,$B78&lt;=$DB$3,$B78&lt;=$DB$4,$B78&lt;=$DB$5),(W77*(1+$DH$1))+(W$4))</f>
        <v>0</v>
      </c>
      <c r="Y78" s="1">
        <f t="shared" si="80"/>
        <v>0</v>
      </c>
      <c r="Z78" s="2">
        <f t="shared" si="71"/>
        <v>0</v>
      </c>
      <c r="AA78" s="375"/>
      <c r="AC78" s="326" cm="1">
        <f t="array" ref="AC78">_xlfn.IFS(AND(A78&gt;DA$6,B78&gt;DB$6),0,AND(A78&gt;DA$4,B78&gt;DB$4),IF(AG77=0,0,(AC77-((AC77/AG77)*CA77))*(1+DH$2)),OR(A78&gt;DA$3,A78&gt;DA$6),AC77*(1+DH$1),A78&gt;DA$4,(AC77-CA77)*(1+DH$2),AND(A78&lt;=DA$3,A78&lt;=DA$4,A78&lt;=DA$6),(AC77*(1+DH$1))+(AC$4))</f>
        <v>0</v>
      </c>
      <c r="AD78" s="375"/>
      <c r="AE78" s="326" cm="1">
        <f t="array" ref="AE78">_xlfn.IFS(AND(A78&gt;DA$6,B78&gt;DB$6),0,AND(A78&gt;DA$4,B78&gt;DB$4),IF(AG77=0,0,(AE77-((AE77/AG77)*CA77))*(1+DH$2)),OR(B78&gt;DB$3,B78&gt;DB$6),AE77*(1+DH$1),B78&gt;DB$4,(AE77-CA77)*(1+DH$2),AND(B78&lt;=DB$3,B78&lt;=DB$4,B78&lt;=DB$6),(AE77*(1+DH$1))+(AE$4))</f>
        <v>0</v>
      </c>
      <c r="AF78" s="375"/>
      <c r="AG78" s="1">
        <f t="shared" si="92"/>
        <v>0</v>
      </c>
      <c r="AH78" s="2">
        <f t="shared" si="81"/>
        <v>0</v>
      </c>
      <c r="AI78" s="14">
        <f t="shared" si="72"/>
        <v>0</v>
      </c>
      <c r="AK78" s="1">
        <f t="shared" si="82"/>
        <v>0</v>
      </c>
      <c r="AL78" s="14">
        <f t="shared" si="73"/>
        <v>0</v>
      </c>
      <c r="AM78" s="14" t="str">
        <f t="shared" si="83"/>
        <v/>
      </c>
      <c r="AO78" s="15">
        <f t="shared" si="74"/>
        <v>0</v>
      </c>
      <c r="AP78" s="1">
        <f>IF(AND(B78&gt;=$DB$6,A78&gt;=$DA$6),0,AP77*(1+Lookups!C$12))</f>
        <v>0</v>
      </c>
      <c r="AQ78" s="1">
        <f>IF(AND(B78&gt;=$DB$6,A78&gt;=$DA$6),0,AQ77*(1+Lookups!C$12))</f>
        <v>0</v>
      </c>
      <c r="AS78" s="1" cm="1">
        <f t="array" ref="AS78">_xlfn.IFS(OR(AS$6="",AND(A78&gt;=DA$6,B78&gt;=DB$6),AND(A78&lt;DA$4,B78&lt;DB$4)),0,AND(A78=DA$4,DA$4&lt;=DB$4),AS$6,AND(B78=DB$4,DA$4&gt;=DB$4),AS$6,OR(A78&gt;DA$4,B78&gt;DB$4),AS77*(1+Setup!C$103))</f>
        <v>0</v>
      </c>
      <c r="AT78" s="1" cm="1">
        <f t="array" ref="AT78">_xlfn.IFS(OR(AT$6="",AND(A78&gt;=DA$6,B78&gt;=DB$6),AND(A78&lt;DA$4,B78&lt;DB$4)),0,AND(A78=DA$4,DA$4&lt;=DB$4),AT$6,AND(B78=DB$4,DA$4&gt;=DB$4),AT$6,OR(A78&gt;DA$4,B78&gt;DB$4),AT77*(1+Setup!C$103))</f>
        <v>0</v>
      </c>
      <c r="AU78" s="1" cm="1">
        <f t="array" ref="AU78">_xlfn.IFS(OR(AU$6="",AND(A78&gt;=DA$6,B78&gt;=DB$6),AND(A78&lt;DA$4,B78&lt;DB$4)),0,AND(A78=DA$4,DA$4&lt;=DB$4),AU$6,AND(B78=DB$4,DA$4&gt;=DB$4),AU$6,OR(A78&gt;DA$4,B78&gt;DB$4),AU77*(1+Setup!C$103))</f>
        <v>0</v>
      </c>
      <c r="AV78" s="1" cm="1">
        <f t="array" ref="AV78">_xlfn.IFS(OR(AV$6="",AND(A78&gt;=DA$6,B78&gt;=DB$6),AND(A78&lt;DA$4,B78&lt;DB$4)),0,AND(A78=DA$4,DA$4&lt;=DB$4),AV$6,AND(B78=DB$4,DA$4&gt;=DB$4),AV$6,OR(A78&gt;DA$4,B78&gt;DB$4),AV77*(1+Setup!C$103))</f>
        <v>0</v>
      </c>
      <c r="AW78" s="1">
        <f t="shared" si="75"/>
        <v>0</v>
      </c>
      <c r="AY78" s="1" cm="1">
        <f t="array" ref="AY78">_xlfn.IFS(OR(AND(A78&gt;=DA$6,B78&gt;=DB$6),A78&lt;DA$5),0,AND(A78=DA$5,YEAR(C78)&gt;=Lookups!D$89),VLOOKUP(A78,Lookups!B$94:F$102,3),AND(A78=DA$5,YEAR(C78)&lt;Lookups!D$89),VLOOKUP(A78,Lookups!B$94:F$102,2),AND(A78&gt;DA$5,YEAR(C78)=Lookups!D$89),(AY77*Lookups!D$90)*(1+Lookups!C$20),AND(A78&gt;DA$5,YEAR(C78)&lt;&gt;Lookups!D$89),AY77*(1+Lookups!C$20))</f>
        <v>0</v>
      </c>
      <c r="AZ78" s="1" cm="1">
        <f t="array" ref="AZ78">_xlfn.IFS(OR(ISBLANK(Setup!K$91),Setup!K$91=0,AND(A78&gt;=DA$6,B78&gt;=DB$6),B78&lt;DB$5),0,AND(B78=DB$5,YEAR(C78)&gt;=Lookups!D$89),VLOOKUP(B78,Lookups!B$94:F$102,5),AND(B78=DB$5,YEAR(C78)&lt;Lookups!D$89),VLOOKUP(B78,Lookups!B$94:F$102,4),AND(B78&gt;DB$5,YEAR(C78)=Lookups!D$89),(AZ77*Lookups!D$90)*(1+Lookups!C$20),AND(B78&gt;DB$5,YEAR(C78)&lt;&gt;Lookups!D$89),AZ77*(1+Lookups!C$20))</f>
        <v>0</v>
      </c>
      <c r="BA78" s="65">
        <f>IF(OR(AY78&gt;0,AZ78&gt;0),(AY78+AZ78)*Lookups!D$120,0)</f>
        <v>0</v>
      </c>
      <c r="BB78" s="1" cm="1">
        <f t="array" ref="BB78">_xlfn.IFS(AND(A78&lt;DA$4,B78&lt;DB$4),0,OR(_xlfn.XOR(A78&gt;DA$6,B78&gt;DB$6),_xlfn.XOR(A78&gt;=DA$4,B78&gt;=DB$4)),IF(AP78-SUM(AW78,AY78:AZ78)&gt;0,AP78-SUM(AW78,AY78:AZ78),0),AQ78-SUM(AW78,AY78:AZ78)&gt;0, AQ78-SUM(AW78,AY78:AZ78),AQ78-SUM(AW78,AY78:AZ78)&lt;=0,0)</f>
        <v>0</v>
      </c>
      <c r="BD78" s="1" cm="1">
        <f t="array" ref="BD78">_xlfn.IFS(AND(A78&gt;=DA$6,B78&gt;=DB$6),0,AND(A78&gt;=DA$6,B78&gt;=Lookups!C$35),D78/VLOOKUP(B78,Lookups!C$37:D$67,2),A78&lt;Lookups!$C$35,0,A78&gt;=Lookups!C$35,D78/VLOOKUP(A78,Lookups!C$37:D$67,2))</f>
        <v>0</v>
      </c>
      <c r="BE78" s="1" cm="1">
        <f t="array" ref="BE78">_xlfn.IFS(AND(A78&gt;=DA$6,B78&gt;=DB$6),0,AND(B78&gt;=DB$6,A78&gt;=Lookups!C$35),F78/VLOOKUP(A78,Lookups!C$37:D$67,2),B78&lt;Lookups!$C$35,0,B78&gt;=Lookups!C$35,F78/VLOOKUP(B78,Lookups!C$37:D$67,2))</f>
        <v>0</v>
      </c>
      <c r="BF78" s="1" cm="1">
        <f t="array" ref="BF78">_xlfn.IFS($BB78&lt;=0,0,AND(A78&gt;=DA$4,B78&gt;=DB$4,$BB78*I78&lt;(BD78+BE78)),0,AND(A78&gt;=DA$4,B78&gt;=DB$4,H78&gt;=(BB78*I78)-BD78-BE78),(BB78*I78)-BD78-BE78,AND(A78&gt;=DA$4,B78&gt;=DB$4,H78&lt;(BB78*I78)-BD78-BE78),H78,AND(A78&gt;=DA$4,$BB78*I78&lt;(BD78)),0,AND(A78&gt;=DA$4,H78&gt;=(BB78*I78)-BD78),(BB78*I78)-BD78,AND(A78&gt;=DA$4,H78&lt;(BB78*I78)-BD78),H78,AND(B78&gt;=DB$4,$BB78*I78&lt;(BE78)),0,AND(B78&gt;=DB$4,H78&gt;=(BB78*I78)-BE78),(BB78*I78)-BE78,AND(B78&gt;=DB$4,H78&lt;(BB78*I78)-BE78),H78)</f>
        <v>0</v>
      </c>
      <c r="BG78" s="1">
        <f t="shared" si="66"/>
        <v>0</v>
      </c>
      <c r="BH78" s="1" cm="1">
        <f t="array" ref="BH78">_xlfn.IFS(OR(D78=0,A78&lt;DA$4),0,AND(A78&gt;=DA$4,B78&gt;=DB$4,D78&lt;BD78+($BF78*(D78/$H78))+(-$BP78*(D78/$H78))),D78,AND(A78&gt;=DA$4,B78&gt;=DB$4,$BB78&gt;$BG78),BD78+($BF78*(D78/$H78))+(-$BP78*(D78/$H78)),AND(A78&gt;=DA$4,B78&gt;=DB$4,OR(A78&gt;DA$6, B78&gt;DB$6),$AP78-SUM($AW78,$AY78:$AZ78)&lt;0),BD78+($BF78*(D78/$H78))+(-$BP78*(D78/$H78))+(BP78*(D78/$H78)),AND(A78&gt;=DA$4,B78&gt;=DB$4,$AQ78-SUM($AW78,$AY78:$AZ78)&lt;0),BD78+($BF78*(D78/$H78))+(-$BP78*(D78/$H78))+(BP78*(D78/$H78)),AND(A78&gt;=DA$4,D78&lt;BD78+$BF78-$BP78),D78,AND(A78&gt;=DA$4,$AP78-SUM($AW78,$AY78:$AZ78)&lt;0),BD78+($BF78*(D78/$H78))+(-$BP78*(D78/$H78))+(BP78*(D78/$H78)),A78&gt;=DA$4,BD78+$BF78-$BP78)</f>
        <v>0</v>
      </c>
      <c r="BI78" s="1" cm="1">
        <f t="array" ref="BI78">_xlfn.IFS(OR(F78=0,B78&lt;DB$4),0,AND(A78&gt;=DA$4,B78&gt;=DB$4,F78&lt;BE78+($BF78*(F78/$H78))+(-$BP78*(F78/$H78))),F78,AND(A78&gt;=DA$4,B78&gt;=DB$4,$BB78&gt;$BG78),BE78+($BF78*(F78/$H78))+(-$BP78*(F78/$H78)),AND(A78&gt;=DA$4,B78&gt;=DB$4,OR(A78&gt;DA$6, B78&gt;DB$6),$AP78-SUM($AW78,$AY78:$AZ78)&lt;0),BE78+($BF78*(F78/$H78))+(-$BP78*(F78/$H78))+(BP78*(F78/$H78)),AND(A78&gt;=DA$4,B78&gt;=DB$4,$AQ78-SUM($AW78,$AY78:$AZ78)&lt;0),BE78+($BF78*(F78/$H78))+(-$BP78*(F78/$H78))+(BP78*(F78/$H78)),AND(B78&gt;=DB$4,F78&lt;BE78+$BF78-$BP78),F78,AND(B78&gt;=DB$4,$AP78-SUM($AW78,$AY78:$AZ78)&lt;0),BE78+($BF78*(F78/$H78))+(-$BP78*(F78/$H78))+(BP78*(F78/$H78)),B78&gt;=DB$4,BE78+$BF78-$BP78)</f>
        <v>0</v>
      </c>
      <c r="BJ78" s="64" cm="1">
        <f t="array" ref="BJ78">IF(AW78+BA78+BG78&gt;0, AW78+BA78+BG78-_xlfn.IFS(AND(A78&gt;=65,B78&gt;=65),VLOOKUP(Setup!I$4,Lookups!C$133:F$136,4),OR(A78&gt;=65,B78&gt;=65),VLOOKUP(Setup!I$4,Lookups!C$133:E$136,3),AND(A78&lt;65,B78&lt;65),VLOOKUP(Setup!I$4,Lookups!C$133:D$136,2)),0)</f>
        <v>0</v>
      </c>
      <c r="BK78" s="1" cm="1">
        <f t="array" ref="BK78">IF(BJ78&gt;0,_xlfn.IFS(Setup!I$4=Lookups!D$109,-_xlfn.IFS($BJ78&gt;=Lookups!D$157, Lookups!F$157+($BJ78-Lookups!D$157)*Lookups!G$157,$BJ78&gt;=Lookups!D$156, Lookups!F$156+($BJ78-Lookups!D$156)*Lookups!G$156,$BJ78&gt;=Lookups!D$155, Lookups!F$155+($BJ78-Lookups!D$155)*Lookups!G$155,$BJ78&gt;=Lookups!D$154, Lookups!F$154+($BJ78-Lookups!D$154)*Lookups!G$154,$BJ78&gt;=Lookups!D$153, Lookups!F$153+($BJ78-Lookups!D$153)*Lookups!G$153,$BJ78&gt;=Lookups!D$152, Lookups!F$152+($BJ78-Lookups!D$152)*Lookups!G$152,$BJ78&lt;Lookups!D$152,$BJ78*Lookups!G$151),Setup!I$4=Lookups!D$110,-_xlfn.IFS($BJ78&gt;=Lookups!D$167, Lookups!F$167+($BJ78-Lookups!D$167)*Lookups!G$167,$BJ78&gt;=Lookups!D$166, Lookups!F$166+($BJ78-Lookups!D$166)*Lookups!G$166,$BJ78&gt;=Lookups!D$165, Lookups!F$165+($BJ78-Lookups!D$165)*Lookups!G$165,$BJ78&gt;=Lookups!D$164, Lookups!F$164+($BJ78-Lookups!D$164)*Lookups!G$164,$BJ78&gt;=Lookups!D$163, Lookups!F$163+($BJ78-Lookups!D$163)*Lookups!G$163,$BJ78&gt;=Lookups!D$162, Lookups!F$162+($BJ78-Lookups!D$162)*Lookups!G$162,$BJ78&lt;Lookups!D$162,$BJ78*Lookups!G$161),Setup!I$4=Lookups!D$111,-_xlfn.IFS($BJ78&gt;=Lookups!D$177, Lookups!F$177+($BJ78-Lookups!D$177)*Lookups!G$177,$BJ78&gt;=Lookups!D$176, Lookups!F$176+($BJ78-Lookups!D$176)*Lookups!G$176,$BJ78&gt;=Lookups!D$175, Lookups!F$175+($BJ78-Lookups!D$175)*Lookups!G$175,$BJ78&gt;=Lookups!D$174, Lookups!F$174+($BJ78-Lookups!D$174)*Lookups!G$174,$BJ78&gt;=Lookups!D$173, Lookups!F$173+($BJ78-Lookups!D$173)*Lookups!G$173,$BJ78&gt;=Lookups!D$172, Lookups!F$172+($BJ78-Lookups!D$172)*Lookups!G$172,$BJ78&lt;Lookups!D$172,$BJ78*Lookups!G$171), Setup!I$4=Lookups!D$112,-_xlfn.IFS($BJ78&gt;=Lookups!D$187, Lookups!F$187+($BJ78-Lookups!D$187)*Lookups!G$187,$BJ78&gt;=Lookups!D$186, Lookups!F$186+($BJ78-Lookups!D$186)*Lookups!G$186,$BJ78&gt;=Lookups!D$185, Lookups!F$185+($BJ78-Lookups!D$185)*Lookups!G$185,$BJ78&gt;=Lookups!D$184, Lookups!F$184+($BJ78-Lookups!D$184)*Lookups!G$184,$BJ78&gt;=Lookups!D$183, Lookups!F$183+($BJ78-Lookups!D$183)*Lookups!G$183,$BJ78&gt;=Lookups!D$182, Lookups!F$182+($BJ78-Lookups!D$182)*Lookups!G$182,$BJ78&lt;Lookups!D$182,$BJ78*Lookups!G$181)),0)</f>
        <v>0</v>
      </c>
      <c r="BL78" s="18">
        <f t="shared" si="76"/>
        <v>0</v>
      </c>
      <c r="BM78" s="134">
        <f t="shared" si="67"/>
        <v>0</v>
      </c>
      <c r="BN78" s="134" cm="1">
        <f t="array" aca="1" ref="BN78" ca="1">INDIRECT(Setup!I$6&amp;"!"&amp;"A"&amp;ROW())</f>
        <v>0</v>
      </c>
      <c r="BO78" s="134">
        <f t="shared" si="84"/>
        <v>0</v>
      </c>
      <c r="BP78" s="1">
        <f t="shared" si="77"/>
        <v>0</v>
      </c>
      <c r="BQ78" s="1">
        <f t="shared" si="85"/>
        <v>0</v>
      </c>
      <c r="BS78" s="1">
        <f t="shared" si="86"/>
        <v>0</v>
      </c>
      <c r="BT78" s="1" cm="1">
        <f t="array" ref="BT78">-IF(BS78&gt;0,_xlfn.IFS((AW78+BA78+BG78+BS78)&gt;=VLOOKUP(Setup!I$4,Lookups!C$210:E$213,3),BS78*Lookups!D$203,(AW78+BA78+BG78+BS78)&gt;=VLOOKUP(Setup!I$4,Lookups!C$210:E$213,2),BS78*Lookups!D$197,(AW78+BA78+BG78+BS78)&lt;VLOOKUP(Setup!I$4,Lookups!C$210:E$213,2),0),0)</f>
        <v>0</v>
      </c>
      <c r="BU78" s="18">
        <f t="shared" si="87"/>
        <v>0</v>
      </c>
      <c r="BV78" s="1">
        <f t="shared" si="88"/>
        <v>0</v>
      </c>
      <c r="BW78" s="1" cm="1">
        <f t="array" aca="1" ref="BW78" ca="1">INDIRECT(Setup!I$6&amp;"!"&amp;"A"&amp;ROW()+100)</f>
        <v>0</v>
      </c>
      <c r="BX78" s="1">
        <f t="shared" ca="1" si="78"/>
        <v>0</v>
      </c>
      <c r="BY78" s="1">
        <f t="shared" ca="1" si="79"/>
        <v>0</v>
      </c>
      <c r="CA78" s="1">
        <f t="shared" si="91"/>
        <v>0</v>
      </c>
      <c r="CC78" s="1" cm="1">
        <f t="array" ref="CC78">_xlfn.IFS(AND(A78&lt;$DA$4,B78&lt;$DB$4),0,AND(AND(A78&gt;=$DA$4,B78&gt;=$DB$4),AND(A78&lt;=$DA$6,B78&lt;=$DB$6),AND(BH78=0,BI78=0)),SUM(AW78,AY78:AZ78,BD78:BF78,BP78,BS78,CA78)-AQ78,AND(AND(A78&gt;=$DA$4,B78&gt;=$DB$4),AND(A78&lt;=$DA$6,B78&lt;=$DB$6)),SUM(AW78,AY78:AZ78,BD78:BF78,BS78,CA78)-AQ78,AND(OR(A78&gt;=$DA$4,B78&gt;=$DB$4),AND(BH78=0,BI78=0)),SUM(AW78,AY78:AZ78,BD78:BF78,BP78,BS78,CA78)-AP78,OR(A78&gt;=$DA$4,B78&gt;=$DB$4),SUM(AW78,AY78:AZ78,BD78:BF78,BS78,CA78)-AP78)</f>
        <v>0</v>
      </c>
      <c r="CD78" s="142" t="str">
        <f t="shared" si="89"/>
        <v/>
      </c>
    </row>
    <row r="79" spans="1:82" x14ac:dyDescent="0.3">
      <c r="A79" s="354">
        <f t="shared" si="68"/>
        <v>72</v>
      </c>
      <c r="B79" s="354">
        <f t="shared" si="69"/>
        <v>72</v>
      </c>
      <c r="C79" s="359">
        <f t="shared" si="90"/>
        <v>26299</v>
      </c>
      <c r="D79" s="326" cm="1">
        <f t="array" ref="D79">_xlfn.IFS(AND(A79&gt;DA$6,B79&gt;DB$6),0,AND(A79&gt;DA$3,A79&lt;=DA$4),D78*(1+DH$1),OR(A79&gt;DA$6,A79&gt;DA$4),(D78-BH78)*(1+DH$2),A79&lt;=DA$4,(D78*(1+DH$1))+(D$4))</f>
        <v>0</v>
      </c>
      <c r="E79" s="375"/>
      <c r="F79" s="326" cm="1">
        <f t="array" ref="F79">_xlfn.IFS(AND(A79&gt;DA$6,B79&gt;DB$6),0,AND(B79&gt;DB$3,B79&lt;=DB$4),F78*(1+DH$1),OR(B79&gt;DB$6,B79&gt;DB$4),(F78-BI78)*(1+DH$2),B79&lt;=DB$4,(F78*(1+DH$1))+(F$4))</f>
        <v>0</v>
      </c>
      <c r="G79" s="375"/>
      <c r="H79" s="1">
        <f t="shared" si="93"/>
        <v>0</v>
      </c>
      <c r="I79" s="2">
        <f t="shared" si="70"/>
        <v>0</v>
      </c>
      <c r="J79" s="14">
        <f t="shared" si="94"/>
        <v>0</v>
      </c>
      <c r="L79" s="402" cm="1">
        <f t="array" ref="L79">_xlfn.IFS(AND(A79&gt;DA$6,B79&gt;DB$6),0,A79&lt;DA$6,0,A79=DA$6,L$4,AND(A79&gt;DA$6,B79&lt;=DB$4),L78*(1+DH$1),AND(A79&gt;DA$6,B79&gt;DB$4),IF(Y78=0,0,(L78-((L78/Y78)*BY78))*(1+DH$2)))</f>
        <v>0</v>
      </c>
      <c r="M79" s="402" cm="1">
        <f t="array" ref="M79">_xlfn.IFS(AND(A79&gt;DA$6,B79&gt;DB$6),0,B79&lt;DB$6,0,B79=DB$6,M$4,AND(B79&gt;DB$6,A79&lt;=DA$4),M78*(1+DH$1),AND(A79&gt;DA$4,B79&gt;DB$6),IF(Y78=0,0,(M78-((M78/Y78)*BY78))*(1+DH$2)))</f>
        <v>0</v>
      </c>
      <c r="N79" s="327"/>
      <c r="O79" s="327" cm="1">
        <f t="array" ref="O79">_xlfn.IFS(OR(ISBLANK(Setup!C$63),Setup!C$63&gt;YEAR(C79),AND(A79&gt;DA$6,B79&gt;DB$6),ISBLANK(Y78)),0,Setup!C$63=YEAR(C79),Setup!C$62,AND(OR(A79&lt;=DA$4,B79&lt;=DB$4),Setup!C$63&lt;YEAR(C79)),O78*(1+DH$1),AND(A79&gt;DA$4,B79&gt;DB$4,Setup!C$63&lt;YEAR(C79)),IF(Y78=0,0,(O78-((O78/Y78)*BY78))*(1+DH$2)))</f>
        <v>0</v>
      </c>
      <c r="P79" s="327" cm="1">
        <f t="array" ref="P79">_xlfn.IFS(OR(ISBLANK(Setup!C$67),Setup!C$67&gt;YEAR(C79),AND(A79&gt;DA$6,B79&gt;DB$6)),0,Setup!C$67=YEAR(C79),Setup!C$66,AND(OR(A79&lt;=DA$4,B79&lt;=DB$4),Setup!C$67&lt;YEAR(C79)),P78*(1+DH$1),AND(A79&gt;DA$4,B79&gt;DB$4,Setup!C$67&lt;YEAR(C79)),IF(Y78=0,0,(P78-((P78/Y78)*BY78))*(1+DH$2)))</f>
        <v>0</v>
      </c>
      <c r="Q79" s="327" cm="1">
        <f t="array" ref="Q79">_xlfn.IFS(OR(ISBLANK(Setup!C$71),Setup!C$71&gt;YEAR(C79),AND(A79&gt;DA$6,B79&gt;DB$6)),0,Setup!C$71=YEAR(C79),Setup!C$70,AND(OR(A79&lt;=DA$4,B79&lt;=DB$4),Setup!C$71&lt;YEAR(C79)),Q78*(1+DH$1),AND(A79&gt;DA$4,B79&gt;DB$4,Setup!C$71&lt;YEAR(C79)),IF(Y78=0,0,(Q78-((Q78/Y78)*BY78))*(1+DH$2)))</f>
        <v>0</v>
      </c>
      <c r="R79" s="327" cm="1">
        <f t="array" ref="R79">_xlfn.IFS(OR(ISBLANK(Setup!C$75),Setup!C$75&gt;YEAR(C79),AND(A79&gt;DA$6,B79&gt;DB$6)),0,Setup!C$75=YEAR(C79),Setup!C$74,AND(OR(A79&lt;=DA$4,B79&lt;=DB$4),Setup!C$75&lt;YEAR(C79)),R78*(1+DH$1),AND(A79&gt;DA$4,B79&gt;DB$4,Setup!C$75&lt;YEAR(C79)),IF(Y78=0,0,(R78-((R78/Y78)*BY78))*(1+DH$2)))</f>
        <v>0</v>
      </c>
      <c r="S79" s="327"/>
      <c r="T79" s="326" cm="1">
        <f t="array" ref="T79">_xlfn.IFS(AND($A79&gt;$DA$6,$B79&gt;$DB$6),0,AND($W$2=$DA$2,$A79&gt;$DA$4),IF($Y78=0,0,(T78-((T78/$Y78)*$BY78))*(1+$DH$2)),AND($W$2=$DB$2,$B79&gt;$DB$4),IF($Y78=0,0,(T78-((T78/$Y78)*$BY78))*(1+$DH$2)),AND($W$2=$DA$2,OR($A79&gt;$DA$3,$A79&gt;$DA$6)),(T78*(1+$DH$1)),AND($W$2=$DB$2,OR($B79&gt;$DB$3,$B79&gt;$DB$6)),(T78*(1+$DH$1)),AND($W$2=$DA$2,$A79&lt;=$DA$3,$A79&lt;=$DA$4,$A79&lt;=$DA$5),(T78*(1+$DH$1))+(T$4),AND($W$2=$DB$2,$B79&lt;=$DB$3,$B79&lt;=$DB$4,$B79&lt;=$DB$5),(T78*(1+$DH$1))+(T$4))</f>
        <v>0</v>
      </c>
      <c r="U79" s="326" cm="1">
        <f t="array" ref="U79">_xlfn.IFS(AND($A79&gt;$DA$6,$B79&gt;$DB$6),0,AND($W$2=$DA$2,$A79&gt;$DA$4),IF($Y78=0,0,(U78-((U78/$Y78)*$BY78))*(1+$DH$2)),AND($W$2=$DB$2,$B79&gt;$DB$4),IF($Y78=0,0,(U78-((U78/$Y78)*$BY78))*(1+$DH$2)),AND($W$2=$DA$2,OR($A79&gt;$DA$3,$A79&gt;$DA$6)),(U78*(1+$DH$1)),AND($W$2=$DB$2,OR($B79&gt;$DB$3,$B79&gt;$DB$6)),(U78*(1+$DH$1)),AND($W$2=$DA$2,$A79&lt;=$DA$3,$A79&lt;=$DA$4,$A79&lt;=$DA$5),(U78*(1+$DH$1))+(U$4),AND($W$2=$DB$2,$B79&lt;=$DB$3,$B79&lt;=$DB$4,$B79&lt;=$DB$5),(U78*(1+$DH$1))+(U$4))</f>
        <v>0</v>
      </c>
      <c r="V79" s="326" cm="1">
        <f t="array" ref="V79">_xlfn.IFS(AND($A79&gt;$DA$6,$B79&gt;$DB$6),0,AND($W$2=$DA$2,$A79&gt;$DA$4),IF($Y78=0,0,(V78-((V78/$Y78)*$BY78))*(1+$DH$2)),AND($W$2=$DB$2,$B79&gt;$DB$4),IF($Y78=0,0,(V78-((V78/$Y78)*$BY78))*(1+$DH$2)),AND($W$2=$DA$2,OR($A79&gt;$DA$3,$A79&gt;$DA$6)),(V78*(1+$DH$1)),AND($W$2=$DB$2,OR($B79&gt;$DB$3,$B79&gt;$DB$6)),(V78*(1+$DH$1)),AND($W$2=$DA$2,$A79&lt;=$DA$3,$A79&lt;=$DA$4,$A79&lt;=$DA$5),(V78*(1+$DH$1))+(V$4),AND($W$2=$DB$2,$B79&lt;=$DB$3,$B79&lt;=$DB$4,$B79&lt;=$DB$5),(V78*(1+$DH$1))+(V$4))</f>
        <v>0</v>
      </c>
      <c r="W79" s="326" cm="1">
        <f t="array" ref="W79">_xlfn.IFS(AND($A79&gt;$DA$6,$B79&gt;$DB$6),0,AND($W$2=$DA$2,$A79&gt;$DA$4),IF($Y78=0,0,(W78-((W78/$Y78)*$BY78))*(1+$DH$2)),AND($W$2=$DB$2,$B79&gt;$DB$4),IF($Y78=0,0,(W78-((W78/$Y78)*$BY78))*(1+$DH$2)),AND($W$2=$DA$2,OR($A79&gt;$DA$3,$A79&gt;$DA$6)),(W78*(1+$DH$1)),AND($W$2=$DB$2,OR($B79&gt;$DB$3,$B79&gt;$DB$6)),(W78*(1+$DH$1)),AND($W$2=$DA$2,$A79&lt;=$DA$3,$A79&lt;=$DA$4,$A79&lt;=$DA$5),(W78*(1+$DH$1))+(W$4),AND($W$2=$DB$2,$B79&lt;=$DB$3,$B79&lt;=$DB$4,$B79&lt;=$DB$5),(W78*(1+$DH$1))+(W$4))</f>
        <v>0</v>
      </c>
      <c r="Y79" s="1">
        <f t="shared" si="80"/>
        <v>0</v>
      </c>
      <c r="Z79" s="2">
        <f t="shared" si="71"/>
        <v>0</v>
      </c>
      <c r="AA79" s="375"/>
      <c r="AC79" s="326" cm="1">
        <f t="array" ref="AC79">_xlfn.IFS(AND(A79&gt;DA$6,B79&gt;DB$6),0,AND(A79&gt;DA$4,B79&gt;DB$4),IF(AG78=0,0,(AC78-((AC78/AG78)*CA78))*(1+DH$2)),OR(A79&gt;DA$3,A79&gt;DA$6),AC78*(1+DH$1),A79&gt;DA$4,(AC78-CA78)*(1+DH$2),AND(A79&lt;=DA$3,A79&lt;=DA$4,A79&lt;=DA$6),(AC78*(1+DH$1))+(AC$4))</f>
        <v>0</v>
      </c>
      <c r="AD79" s="375"/>
      <c r="AE79" s="326" cm="1">
        <f t="array" ref="AE79">_xlfn.IFS(AND(A79&gt;DA$6,B79&gt;DB$6),0,AND(A79&gt;DA$4,B79&gt;DB$4),IF(AG78=0,0,(AE78-((AE78/AG78)*CA78))*(1+DH$2)),OR(B79&gt;DB$3,B79&gt;DB$6),AE78*(1+DH$1),B79&gt;DB$4,(AE78-CA78)*(1+DH$2),AND(B79&lt;=DB$3,B79&lt;=DB$4,B79&lt;=DB$6),(AE78*(1+DH$1))+(AE$4))</f>
        <v>0</v>
      </c>
      <c r="AF79" s="375"/>
      <c r="AG79" s="1">
        <f t="shared" si="92"/>
        <v>0</v>
      </c>
      <c r="AH79" s="2">
        <f t="shared" si="81"/>
        <v>0</v>
      </c>
      <c r="AI79" s="14">
        <f t="shared" si="72"/>
        <v>0</v>
      </c>
      <c r="AK79" s="1">
        <f t="shared" si="82"/>
        <v>0</v>
      </c>
      <c r="AL79" s="14">
        <f t="shared" si="73"/>
        <v>0</v>
      </c>
      <c r="AM79" s="14" t="str">
        <f t="shared" si="83"/>
        <v/>
      </c>
      <c r="AO79" s="15">
        <f t="shared" si="74"/>
        <v>0</v>
      </c>
      <c r="AP79" s="1">
        <f>IF(AND(B79&gt;=$DB$6,A79&gt;=$DA$6),0,AP78*(1+Lookups!C$12))</f>
        <v>0</v>
      </c>
      <c r="AQ79" s="1">
        <f>IF(AND(B79&gt;=$DB$6,A79&gt;=$DA$6),0,AQ78*(1+Lookups!C$12))</f>
        <v>0</v>
      </c>
      <c r="AS79" s="1" cm="1">
        <f t="array" ref="AS79">_xlfn.IFS(OR(AS$6="",AND(A79&gt;=DA$6,B79&gt;=DB$6),AND(A79&lt;DA$4,B79&lt;DB$4)),0,AND(A79=DA$4,DA$4&lt;=DB$4),AS$6,AND(B79=DB$4,DA$4&gt;=DB$4),AS$6,OR(A79&gt;DA$4,B79&gt;DB$4),AS78*(1+Setup!C$103))</f>
        <v>0</v>
      </c>
      <c r="AT79" s="1" cm="1">
        <f t="array" ref="AT79">_xlfn.IFS(OR(AT$6="",AND(A79&gt;=DA$6,B79&gt;=DB$6),AND(A79&lt;DA$4,B79&lt;DB$4)),0,AND(A79=DA$4,DA$4&lt;=DB$4),AT$6,AND(B79=DB$4,DA$4&gt;=DB$4),AT$6,OR(A79&gt;DA$4,B79&gt;DB$4),AT78*(1+Setup!C$103))</f>
        <v>0</v>
      </c>
      <c r="AU79" s="1" cm="1">
        <f t="array" ref="AU79">_xlfn.IFS(OR(AU$6="",AND(A79&gt;=DA$6,B79&gt;=DB$6),AND(A79&lt;DA$4,B79&lt;DB$4)),0,AND(A79=DA$4,DA$4&lt;=DB$4),AU$6,AND(B79=DB$4,DA$4&gt;=DB$4),AU$6,OR(A79&gt;DA$4,B79&gt;DB$4),AU78*(1+Setup!C$103))</f>
        <v>0</v>
      </c>
      <c r="AV79" s="1" cm="1">
        <f t="array" ref="AV79">_xlfn.IFS(OR(AV$6="",AND(A79&gt;=DA$6,B79&gt;=DB$6),AND(A79&lt;DA$4,B79&lt;DB$4)),0,AND(A79=DA$4,DA$4&lt;=DB$4),AV$6,AND(B79=DB$4,DA$4&gt;=DB$4),AV$6,OR(A79&gt;DA$4,B79&gt;DB$4),AV78*(1+Setup!C$103))</f>
        <v>0</v>
      </c>
      <c r="AW79" s="1">
        <f t="shared" si="75"/>
        <v>0</v>
      </c>
      <c r="AY79" s="1" cm="1">
        <f t="array" ref="AY79">_xlfn.IFS(OR(AND(A79&gt;=DA$6,B79&gt;=DB$6),A79&lt;DA$5),0,AND(A79=DA$5,YEAR(C79)&gt;=Lookups!D$89),VLOOKUP(A79,Lookups!B$94:F$102,3),AND(A79=DA$5,YEAR(C79)&lt;Lookups!D$89),VLOOKUP(A79,Lookups!B$94:F$102,2),AND(A79&gt;DA$5,YEAR(C79)=Lookups!D$89),(AY78*Lookups!D$90)*(1+Lookups!C$20),AND(A79&gt;DA$5,YEAR(C79)&lt;&gt;Lookups!D$89),AY78*(1+Lookups!C$20))</f>
        <v>0</v>
      </c>
      <c r="AZ79" s="1" cm="1">
        <f t="array" ref="AZ79">_xlfn.IFS(OR(ISBLANK(Setup!K$91),Setup!K$91=0,AND(A79&gt;=DA$6,B79&gt;=DB$6),B79&lt;DB$5),0,AND(B79=DB$5,YEAR(C79)&gt;=Lookups!D$89),VLOOKUP(B79,Lookups!B$94:F$102,5),AND(B79=DB$5,YEAR(C79)&lt;Lookups!D$89),VLOOKUP(B79,Lookups!B$94:F$102,4),AND(B79&gt;DB$5,YEAR(C79)=Lookups!D$89),(AZ78*Lookups!D$90)*(1+Lookups!C$20),AND(B79&gt;DB$5,YEAR(C79)&lt;&gt;Lookups!D$89),AZ78*(1+Lookups!C$20))</f>
        <v>0</v>
      </c>
      <c r="BA79" s="65">
        <f>IF(OR(AY79&gt;0,AZ79&gt;0),(AY79+AZ79)*Lookups!D$120,0)</f>
        <v>0</v>
      </c>
      <c r="BB79" s="1" cm="1">
        <f t="array" ref="BB79">_xlfn.IFS(AND(A79&lt;DA$4,B79&lt;DB$4),0,OR(_xlfn.XOR(A79&gt;DA$6,B79&gt;DB$6),_xlfn.XOR(A79&gt;=DA$4,B79&gt;=DB$4)),IF(AP79-SUM(AW79,AY79:AZ79)&gt;0,AP79-SUM(AW79,AY79:AZ79),0),AQ79-SUM(AW79,AY79:AZ79)&gt;0, AQ79-SUM(AW79,AY79:AZ79),AQ79-SUM(AW79,AY79:AZ79)&lt;=0,0)</f>
        <v>0</v>
      </c>
      <c r="BD79" s="1" cm="1">
        <f t="array" ref="BD79">_xlfn.IFS(AND(A79&gt;=DA$6,B79&gt;=DB$6),0,AND(A79&gt;=DA$6,B79&gt;=Lookups!C$35),D79/VLOOKUP(B79,Lookups!C$37:D$67,2),A79&lt;Lookups!$C$35,0,A79&gt;=Lookups!C$35,D79/VLOOKUP(A79,Lookups!C$37:D$67,2))</f>
        <v>0</v>
      </c>
      <c r="BE79" s="1" cm="1">
        <f t="array" ref="BE79">_xlfn.IFS(AND(A79&gt;=DA$6,B79&gt;=DB$6),0,AND(B79&gt;=DB$6,A79&gt;=Lookups!C$35),F79/VLOOKUP(A79,Lookups!C$37:D$67,2),B79&lt;Lookups!$C$35,0,B79&gt;=Lookups!C$35,F79/VLOOKUP(B79,Lookups!C$37:D$67,2))</f>
        <v>0</v>
      </c>
      <c r="BF79" s="1" cm="1">
        <f t="array" ref="BF79">_xlfn.IFS($BB79&lt;=0,0,AND(A79&gt;=DA$4,B79&gt;=DB$4,$BB79*I79&lt;(BD79+BE79)),0,AND(A79&gt;=DA$4,B79&gt;=DB$4,H79&gt;=(BB79*I79)-BD79-BE79),(BB79*I79)-BD79-BE79,AND(A79&gt;=DA$4,B79&gt;=DB$4,H79&lt;(BB79*I79)-BD79-BE79),H79,AND(A79&gt;=DA$4,$BB79*I79&lt;(BD79)),0,AND(A79&gt;=DA$4,H79&gt;=(BB79*I79)-BD79),(BB79*I79)-BD79,AND(A79&gt;=DA$4,H79&lt;(BB79*I79)-BD79),H79,AND(B79&gt;=DB$4,$BB79*I79&lt;(BE79)),0,AND(B79&gt;=DB$4,H79&gt;=(BB79*I79)-BE79),(BB79*I79)-BE79,AND(B79&gt;=DB$4,H79&lt;(BB79*I79)-BE79),H79)</f>
        <v>0</v>
      </c>
      <c r="BG79" s="1">
        <f t="shared" si="66"/>
        <v>0</v>
      </c>
      <c r="BH79" s="1" cm="1">
        <f t="array" ref="BH79">_xlfn.IFS(OR(D79=0,A79&lt;DA$4),0,AND(A79&gt;=DA$4,B79&gt;=DB$4,D79&lt;BD79+($BF79*(D79/$H79))+(-$BP79*(D79/$H79))),D79,AND(A79&gt;=DA$4,B79&gt;=DB$4,$BB79&gt;$BG79),BD79+($BF79*(D79/$H79))+(-$BP79*(D79/$H79)),AND(A79&gt;=DA$4,B79&gt;=DB$4,OR(A79&gt;DA$6, B79&gt;DB$6),$AP79-SUM($AW79,$AY79:$AZ79)&lt;0),BD79+($BF79*(D79/$H79))+(-$BP79*(D79/$H79))+(BP79*(D79/$H79)),AND(A79&gt;=DA$4,B79&gt;=DB$4,$AQ79-SUM($AW79,$AY79:$AZ79)&lt;0),BD79+($BF79*(D79/$H79))+(-$BP79*(D79/$H79))+(BP79*(D79/$H79)),AND(A79&gt;=DA$4,D79&lt;BD79+$BF79-$BP79),D79,AND(A79&gt;=DA$4,$AP79-SUM($AW79,$AY79:$AZ79)&lt;0),BD79+($BF79*(D79/$H79))+(-$BP79*(D79/$H79))+(BP79*(D79/$H79)),A79&gt;=DA$4,BD79+$BF79-$BP79)</f>
        <v>0</v>
      </c>
      <c r="BI79" s="1" cm="1">
        <f t="array" ref="BI79">_xlfn.IFS(OR(F79=0,B79&lt;DB$4),0,AND(A79&gt;=DA$4,B79&gt;=DB$4,F79&lt;BE79+($BF79*(F79/$H79))+(-$BP79*(F79/$H79))),F79,AND(A79&gt;=DA$4,B79&gt;=DB$4,$BB79&gt;$BG79),BE79+($BF79*(F79/$H79))+(-$BP79*(F79/$H79)),AND(A79&gt;=DA$4,B79&gt;=DB$4,OR(A79&gt;DA$6, B79&gt;DB$6),$AP79-SUM($AW79,$AY79:$AZ79)&lt;0),BE79+($BF79*(F79/$H79))+(-$BP79*(F79/$H79))+(BP79*(F79/$H79)),AND(A79&gt;=DA$4,B79&gt;=DB$4,$AQ79-SUM($AW79,$AY79:$AZ79)&lt;0),BE79+($BF79*(F79/$H79))+(-$BP79*(F79/$H79))+(BP79*(F79/$H79)),AND(B79&gt;=DB$4,F79&lt;BE79+$BF79-$BP79),F79,AND(B79&gt;=DB$4,$AP79-SUM($AW79,$AY79:$AZ79)&lt;0),BE79+($BF79*(F79/$H79))+(-$BP79*(F79/$H79))+(BP79*(F79/$H79)),B79&gt;=DB$4,BE79+$BF79-$BP79)</f>
        <v>0</v>
      </c>
      <c r="BJ79" s="64" cm="1">
        <f t="array" ref="BJ79">IF(AW79+BA79+BG79&gt;0, AW79+BA79+BG79-_xlfn.IFS(AND(A79&gt;=65,B79&gt;=65),VLOOKUP(Setup!I$4,Lookups!C$133:F$136,4),OR(A79&gt;=65,B79&gt;=65),VLOOKUP(Setup!I$4,Lookups!C$133:E$136,3),AND(A79&lt;65,B79&lt;65),VLOOKUP(Setup!I$4,Lookups!C$133:D$136,2)),0)</f>
        <v>0</v>
      </c>
      <c r="BK79" s="1" cm="1">
        <f t="array" ref="BK79">IF(BJ79&gt;0,_xlfn.IFS(Setup!I$4=Lookups!D$109,-_xlfn.IFS($BJ79&gt;=Lookups!D$157, Lookups!F$157+($BJ79-Lookups!D$157)*Lookups!G$157,$BJ79&gt;=Lookups!D$156, Lookups!F$156+($BJ79-Lookups!D$156)*Lookups!G$156,$BJ79&gt;=Lookups!D$155, Lookups!F$155+($BJ79-Lookups!D$155)*Lookups!G$155,$BJ79&gt;=Lookups!D$154, Lookups!F$154+($BJ79-Lookups!D$154)*Lookups!G$154,$BJ79&gt;=Lookups!D$153, Lookups!F$153+($BJ79-Lookups!D$153)*Lookups!G$153,$BJ79&gt;=Lookups!D$152, Lookups!F$152+($BJ79-Lookups!D$152)*Lookups!G$152,$BJ79&lt;Lookups!D$152,$BJ79*Lookups!G$151),Setup!I$4=Lookups!D$110,-_xlfn.IFS($BJ79&gt;=Lookups!D$167, Lookups!F$167+($BJ79-Lookups!D$167)*Lookups!G$167,$BJ79&gt;=Lookups!D$166, Lookups!F$166+($BJ79-Lookups!D$166)*Lookups!G$166,$BJ79&gt;=Lookups!D$165, Lookups!F$165+($BJ79-Lookups!D$165)*Lookups!G$165,$BJ79&gt;=Lookups!D$164, Lookups!F$164+($BJ79-Lookups!D$164)*Lookups!G$164,$BJ79&gt;=Lookups!D$163, Lookups!F$163+($BJ79-Lookups!D$163)*Lookups!G$163,$BJ79&gt;=Lookups!D$162, Lookups!F$162+($BJ79-Lookups!D$162)*Lookups!G$162,$BJ79&lt;Lookups!D$162,$BJ79*Lookups!G$161),Setup!I$4=Lookups!D$111,-_xlfn.IFS($BJ79&gt;=Lookups!D$177, Lookups!F$177+($BJ79-Lookups!D$177)*Lookups!G$177,$BJ79&gt;=Lookups!D$176, Lookups!F$176+($BJ79-Lookups!D$176)*Lookups!G$176,$BJ79&gt;=Lookups!D$175, Lookups!F$175+($BJ79-Lookups!D$175)*Lookups!G$175,$BJ79&gt;=Lookups!D$174, Lookups!F$174+($BJ79-Lookups!D$174)*Lookups!G$174,$BJ79&gt;=Lookups!D$173, Lookups!F$173+($BJ79-Lookups!D$173)*Lookups!G$173,$BJ79&gt;=Lookups!D$172, Lookups!F$172+($BJ79-Lookups!D$172)*Lookups!G$172,$BJ79&lt;Lookups!D$172,$BJ79*Lookups!G$171), Setup!I$4=Lookups!D$112,-_xlfn.IFS($BJ79&gt;=Lookups!D$187, Lookups!F$187+($BJ79-Lookups!D$187)*Lookups!G$187,$BJ79&gt;=Lookups!D$186, Lookups!F$186+($BJ79-Lookups!D$186)*Lookups!G$186,$BJ79&gt;=Lookups!D$185, Lookups!F$185+($BJ79-Lookups!D$185)*Lookups!G$185,$BJ79&gt;=Lookups!D$184, Lookups!F$184+($BJ79-Lookups!D$184)*Lookups!G$184,$BJ79&gt;=Lookups!D$183, Lookups!F$183+($BJ79-Lookups!D$183)*Lookups!G$183,$BJ79&gt;=Lookups!D$182, Lookups!F$182+($BJ79-Lookups!D$182)*Lookups!G$182,$BJ79&lt;Lookups!D$182,$BJ79*Lookups!G$181)),0)</f>
        <v>0</v>
      </c>
      <c r="BL79" s="18">
        <f t="shared" si="76"/>
        <v>0</v>
      </c>
      <c r="BM79" s="134">
        <f t="shared" si="67"/>
        <v>0</v>
      </c>
      <c r="BN79" s="134" cm="1">
        <f t="array" aca="1" ref="BN79" ca="1">INDIRECT(Setup!I$6&amp;"!"&amp;"A"&amp;ROW())</f>
        <v>0</v>
      </c>
      <c r="BO79" s="134">
        <f t="shared" si="84"/>
        <v>0</v>
      </c>
      <c r="BP79" s="1">
        <f t="shared" si="77"/>
        <v>0</v>
      </c>
      <c r="BQ79" s="1">
        <f t="shared" si="85"/>
        <v>0</v>
      </c>
      <c r="BS79" s="1">
        <f t="shared" si="86"/>
        <v>0</v>
      </c>
      <c r="BT79" s="1" cm="1">
        <f t="array" ref="BT79">-IF(BS79&gt;0,_xlfn.IFS((AW79+BA79+BG79+BS79)&gt;=VLOOKUP(Setup!I$4,Lookups!C$210:E$213,3),BS79*Lookups!D$203,(AW79+BA79+BG79+BS79)&gt;=VLOOKUP(Setup!I$4,Lookups!C$210:E$213,2),BS79*Lookups!D$197,(AW79+BA79+BG79+BS79)&lt;VLOOKUP(Setup!I$4,Lookups!C$210:E$213,2),0),0)</f>
        <v>0</v>
      </c>
      <c r="BU79" s="18">
        <f t="shared" si="87"/>
        <v>0</v>
      </c>
      <c r="BV79" s="1">
        <f t="shared" si="88"/>
        <v>0</v>
      </c>
      <c r="BW79" s="1" cm="1">
        <f t="array" aca="1" ref="BW79" ca="1">INDIRECT(Setup!I$6&amp;"!"&amp;"A"&amp;ROW()+100)</f>
        <v>0</v>
      </c>
      <c r="BX79" s="1">
        <f t="shared" ca="1" si="78"/>
        <v>0</v>
      </c>
      <c r="BY79" s="1">
        <f t="shared" ca="1" si="79"/>
        <v>0</v>
      </c>
      <c r="CA79" s="1">
        <f t="shared" si="91"/>
        <v>0</v>
      </c>
      <c r="CC79" s="1" cm="1">
        <f t="array" ref="CC79">_xlfn.IFS(AND(A79&lt;$DA$4,B79&lt;$DB$4),0,AND(AND(A79&gt;=$DA$4,B79&gt;=$DB$4),AND(A79&lt;=$DA$6,B79&lt;=$DB$6),AND(BH79=0,BI79=0)),SUM(AW79,AY79:AZ79,BD79:BF79,BP79,BS79,CA79)-AQ79,AND(AND(A79&gt;=$DA$4,B79&gt;=$DB$4),AND(A79&lt;=$DA$6,B79&lt;=$DB$6)),SUM(AW79,AY79:AZ79,BD79:BF79,BS79,CA79)-AQ79,AND(OR(A79&gt;=$DA$4,B79&gt;=$DB$4),AND(BH79=0,BI79=0)),SUM(AW79,AY79:AZ79,BD79:BF79,BP79,BS79,CA79)-AP79,OR(A79&gt;=$DA$4,B79&gt;=$DB$4),SUM(AW79,AY79:AZ79,BD79:BF79,BS79,CA79)-AP79)</f>
        <v>0</v>
      </c>
      <c r="CD79" s="142" t="str">
        <f t="shared" si="89"/>
        <v/>
      </c>
    </row>
    <row r="80" spans="1:82" x14ac:dyDescent="0.3">
      <c r="A80" s="354">
        <f t="shared" si="68"/>
        <v>73</v>
      </c>
      <c r="B80" s="354">
        <f t="shared" si="69"/>
        <v>73</v>
      </c>
      <c r="C80" s="359">
        <f t="shared" si="90"/>
        <v>26665</v>
      </c>
      <c r="D80" s="326" cm="1">
        <f t="array" ref="D80">_xlfn.IFS(AND(A80&gt;DA$6,B80&gt;DB$6),0,AND(A80&gt;DA$3,A80&lt;=DA$4),D79*(1+DH$1),OR(A80&gt;DA$6,A80&gt;DA$4),(D79-BH79)*(1+DH$2),A80&lt;=DA$4,(D79*(1+DH$1))+(D$4))</f>
        <v>0</v>
      </c>
      <c r="E80" s="375"/>
      <c r="F80" s="326" cm="1">
        <f t="array" ref="F80">_xlfn.IFS(AND(A80&gt;DA$6,B80&gt;DB$6),0,AND(B80&gt;DB$3,B80&lt;=DB$4),F79*(1+DH$1),OR(B80&gt;DB$6,B80&gt;DB$4),(F79-BI79)*(1+DH$2),B80&lt;=DB$4,(F79*(1+DH$1))+(F$4))</f>
        <v>0</v>
      </c>
      <c r="G80" s="375"/>
      <c r="H80" s="1">
        <f t="shared" si="93"/>
        <v>0</v>
      </c>
      <c r="I80" s="2">
        <f t="shared" si="70"/>
        <v>0</v>
      </c>
      <c r="J80" s="14">
        <f t="shared" si="94"/>
        <v>0</v>
      </c>
      <c r="L80" s="402" cm="1">
        <f t="array" ref="L80">_xlfn.IFS(AND(A80&gt;DA$6,B80&gt;DB$6),0,A80&lt;DA$6,0,A80=DA$6,L$4,AND(A80&gt;DA$6,B80&lt;=DB$4),L79*(1+DH$1),AND(A80&gt;DA$6,B80&gt;DB$4),IF(Y79=0,0,(L79-((L79/Y79)*BY79))*(1+DH$2)))</f>
        <v>0</v>
      </c>
      <c r="M80" s="402" cm="1">
        <f t="array" ref="M80">_xlfn.IFS(AND(A80&gt;DA$6,B80&gt;DB$6),0,B80&lt;DB$6,0,B80=DB$6,M$4,AND(B80&gt;DB$6,A80&lt;=DA$4),M79*(1+DH$1),AND(A80&gt;DA$4,B80&gt;DB$6),IF(Y79=0,0,(M79-((M79/Y79)*BY79))*(1+DH$2)))</f>
        <v>0</v>
      </c>
      <c r="N80" s="327"/>
      <c r="O80" s="327" cm="1">
        <f t="array" ref="O80">_xlfn.IFS(OR(ISBLANK(Setup!C$63),Setup!C$63&gt;YEAR(C80),AND(A80&gt;DA$6,B80&gt;DB$6),ISBLANK(Y79)),0,Setup!C$63=YEAR(C80),Setup!C$62,AND(OR(A80&lt;=DA$4,B80&lt;=DB$4),Setup!C$63&lt;YEAR(C80)),O79*(1+DH$1),AND(A80&gt;DA$4,B80&gt;DB$4,Setup!C$63&lt;YEAR(C80)),IF(Y79=0,0,(O79-((O79/Y79)*BY79))*(1+DH$2)))</f>
        <v>0</v>
      </c>
      <c r="P80" s="327" cm="1">
        <f t="array" ref="P80">_xlfn.IFS(OR(ISBLANK(Setup!C$67),Setup!C$67&gt;YEAR(C80),AND(A80&gt;DA$6,B80&gt;DB$6)),0,Setup!C$67=YEAR(C80),Setup!C$66,AND(OR(A80&lt;=DA$4,B80&lt;=DB$4),Setup!C$67&lt;YEAR(C80)),P79*(1+DH$1),AND(A80&gt;DA$4,B80&gt;DB$4,Setup!C$67&lt;YEAR(C80)),IF(Y79=0,0,(P79-((P79/Y79)*BY79))*(1+DH$2)))</f>
        <v>0</v>
      </c>
      <c r="Q80" s="327" cm="1">
        <f t="array" ref="Q80">_xlfn.IFS(OR(ISBLANK(Setup!C$71),Setup!C$71&gt;YEAR(C80),AND(A80&gt;DA$6,B80&gt;DB$6)),0,Setup!C$71=YEAR(C80),Setup!C$70,AND(OR(A80&lt;=DA$4,B80&lt;=DB$4),Setup!C$71&lt;YEAR(C80)),Q79*(1+DH$1),AND(A80&gt;DA$4,B80&gt;DB$4,Setup!C$71&lt;YEAR(C80)),IF(Y79=0,0,(Q79-((Q79/Y79)*BY79))*(1+DH$2)))</f>
        <v>0</v>
      </c>
      <c r="R80" s="327" cm="1">
        <f t="array" ref="R80">_xlfn.IFS(OR(ISBLANK(Setup!C$75),Setup!C$75&gt;YEAR(C80),AND(A80&gt;DA$6,B80&gt;DB$6)),0,Setup!C$75=YEAR(C80),Setup!C$74,AND(OR(A80&lt;=DA$4,B80&lt;=DB$4),Setup!C$75&lt;YEAR(C80)),R79*(1+DH$1),AND(A80&gt;DA$4,B80&gt;DB$4,Setup!C$75&lt;YEAR(C80)),IF(Y79=0,0,(R79-((R79/Y79)*BY79))*(1+DH$2)))</f>
        <v>0</v>
      </c>
      <c r="S80" s="327"/>
      <c r="T80" s="326" cm="1">
        <f t="array" ref="T80">_xlfn.IFS(AND($A80&gt;$DA$6,$B80&gt;$DB$6),0,AND($W$2=$DA$2,$A80&gt;$DA$4),IF($Y79=0,0,(T79-((T79/$Y79)*$BY79))*(1+$DH$2)),AND($W$2=$DB$2,$B80&gt;$DB$4),IF($Y79=0,0,(T79-((T79/$Y79)*$BY79))*(1+$DH$2)),AND($W$2=$DA$2,OR($A80&gt;$DA$3,$A80&gt;$DA$6)),(T79*(1+$DH$1)),AND($W$2=$DB$2,OR($B80&gt;$DB$3,$B80&gt;$DB$6)),(T79*(1+$DH$1)),AND($W$2=$DA$2,$A80&lt;=$DA$3,$A80&lt;=$DA$4,$A80&lt;=$DA$5),(T79*(1+$DH$1))+(T$4),AND($W$2=$DB$2,$B80&lt;=$DB$3,$B80&lt;=$DB$4,$B80&lt;=$DB$5),(T79*(1+$DH$1))+(T$4))</f>
        <v>0</v>
      </c>
      <c r="U80" s="326" cm="1">
        <f t="array" ref="U80">_xlfn.IFS(AND($A80&gt;$DA$6,$B80&gt;$DB$6),0,AND($W$2=$DA$2,$A80&gt;$DA$4),IF($Y79=0,0,(U79-((U79/$Y79)*$BY79))*(1+$DH$2)),AND($W$2=$DB$2,$B80&gt;$DB$4),IF($Y79=0,0,(U79-((U79/$Y79)*$BY79))*(1+$DH$2)),AND($W$2=$DA$2,OR($A80&gt;$DA$3,$A80&gt;$DA$6)),(U79*(1+$DH$1)),AND($W$2=$DB$2,OR($B80&gt;$DB$3,$B80&gt;$DB$6)),(U79*(1+$DH$1)),AND($W$2=$DA$2,$A80&lt;=$DA$3,$A80&lt;=$DA$4,$A80&lt;=$DA$5),(U79*(1+$DH$1))+(U$4),AND($W$2=$DB$2,$B80&lt;=$DB$3,$B80&lt;=$DB$4,$B80&lt;=$DB$5),(U79*(1+$DH$1))+(U$4))</f>
        <v>0</v>
      </c>
      <c r="V80" s="326" cm="1">
        <f t="array" ref="V80">_xlfn.IFS(AND($A80&gt;$DA$6,$B80&gt;$DB$6),0,AND($W$2=$DA$2,$A80&gt;$DA$4),IF($Y79=0,0,(V79-((V79/$Y79)*$BY79))*(1+$DH$2)),AND($W$2=$DB$2,$B80&gt;$DB$4),IF($Y79=0,0,(V79-((V79/$Y79)*$BY79))*(1+$DH$2)),AND($W$2=$DA$2,OR($A80&gt;$DA$3,$A80&gt;$DA$6)),(V79*(1+$DH$1)),AND($W$2=$DB$2,OR($B80&gt;$DB$3,$B80&gt;$DB$6)),(V79*(1+$DH$1)),AND($W$2=$DA$2,$A80&lt;=$DA$3,$A80&lt;=$DA$4,$A80&lt;=$DA$5),(V79*(1+$DH$1))+(V$4),AND($W$2=$DB$2,$B80&lt;=$DB$3,$B80&lt;=$DB$4,$B80&lt;=$DB$5),(V79*(1+$DH$1))+(V$4))</f>
        <v>0</v>
      </c>
      <c r="W80" s="326" cm="1">
        <f t="array" ref="W80">_xlfn.IFS(AND($A80&gt;$DA$6,$B80&gt;$DB$6),0,AND($W$2=$DA$2,$A80&gt;$DA$4),IF($Y79=0,0,(W79-((W79/$Y79)*$BY79))*(1+$DH$2)),AND($W$2=$DB$2,$B80&gt;$DB$4),IF($Y79=0,0,(W79-((W79/$Y79)*$BY79))*(1+$DH$2)),AND($W$2=$DA$2,OR($A80&gt;$DA$3,$A80&gt;$DA$6)),(W79*(1+$DH$1)),AND($W$2=$DB$2,OR($B80&gt;$DB$3,$B80&gt;$DB$6)),(W79*(1+$DH$1)),AND($W$2=$DA$2,$A80&lt;=$DA$3,$A80&lt;=$DA$4,$A80&lt;=$DA$5),(W79*(1+$DH$1))+(W$4),AND($W$2=$DB$2,$B80&lt;=$DB$3,$B80&lt;=$DB$4,$B80&lt;=$DB$5),(W79*(1+$DH$1))+(W$4))</f>
        <v>0</v>
      </c>
      <c r="Y80" s="1">
        <f t="shared" si="80"/>
        <v>0</v>
      </c>
      <c r="Z80" s="2">
        <f t="shared" si="71"/>
        <v>0</v>
      </c>
      <c r="AA80" s="375"/>
      <c r="AC80" s="326" cm="1">
        <f t="array" ref="AC80">_xlfn.IFS(AND(A80&gt;DA$6,B80&gt;DB$6),0,AND(A80&gt;DA$4,B80&gt;DB$4),IF(AG79=0,0,(AC79-((AC79/AG79)*CA79))*(1+DH$2)),OR(A80&gt;DA$3,A80&gt;DA$6),AC79*(1+DH$1),A80&gt;DA$4,(AC79-CA79)*(1+DH$2),AND(A80&lt;=DA$3,A80&lt;=DA$4,A80&lt;=DA$6),(AC79*(1+DH$1))+(AC$4))</f>
        <v>0</v>
      </c>
      <c r="AD80" s="375"/>
      <c r="AE80" s="326" cm="1">
        <f t="array" ref="AE80">_xlfn.IFS(AND(A80&gt;DA$6,B80&gt;DB$6),0,AND(A80&gt;DA$4,B80&gt;DB$4),IF(AG79=0,0,(AE79-((AE79/AG79)*CA79))*(1+DH$2)),OR(B80&gt;DB$3,B80&gt;DB$6),AE79*(1+DH$1),B80&gt;DB$4,(AE79-CA79)*(1+DH$2),AND(B80&lt;=DB$3,B80&lt;=DB$4,B80&lt;=DB$6),(AE79*(1+DH$1))+(AE$4))</f>
        <v>0</v>
      </c>
      <c r="AF80" s="375"/>
      <c r="AG80" s="1">
        <f t="shared" si="92"/>
        <v>0</v>
      </c>
      <c r="AH80" s="2">
        <f t="shared" si="81"/>
        <v>0</v>
      </c>
      <c r="AI80" s="14">
        <f t="shared" si="72"/>
        <v>0</v>
      </c>
      <c r="AK80" s="1">
        <f t="shared" si="82"/>
        <v>0</v>
      </c>
      <c r="AL80" s="14">
        <f t="shared" si="73"/>
        <v>0</v>
      </c>
      <c r="AM80" s="14" t="str">
        <f t="shared" si="83"/>
        <v/>
      </c>
      <c r="AO80" s="15">
        <f t="shared" si="74"/>
        <v>0</v>
      </c>
      <c r="AP80" s="1">
        <f>IF(AND(B80&gt;=$DB$6,A80&gt;=$DA$6),0,AP79*(1+Lookups!C$12))</f>
        <v>0</v>
      </c>
      <c r="AQ80" s="1">
        <f>IF(AND(B80&gt;=$DB$6,A80&gt;=$DA$6),0,AQ79*(1+Lookups!C$12))</f>
        <v>0</v>
      </c>
      <c r="AS80" s="1" cm="1">
        <f t="array" ref="AS80">_xlfn.IFS(OR(AS$6="",AND(A80&gt;=DA$6,B80&gt;=DB$6),AND(A80&lt;DA$4,B80&lt;DB$4)),0,AND(A80=DA$4,DA$4&lt;=DB$4),AS$6,AND(B80=DB$4,DA$4&gt;=DB$4),AS$6,OR(A80&gt;DA$4,B80&gt;DB$4),AS79*(1+Setup!C$103))</f>
        <v>0</v>
      </c>
      <c r="AT80" s="1" cm="1">
        <f t="array" ref="AT80">_xlfn.IFS(OR(AT$6="",AND(A80&gt;=DA$6,B80&gt;=DB$6),AND(A80&lt;DA$4,B80&lt;DB$4)),0,AND(A80=DA$4,DA$4&lt;=DB$4),AT$6,AND(B80=DB$4,DA$4&gt;=DB$4),AT$6,OR(A80&gt;DA$4,B80&gt;DB$4),AT79*(1+Setup!C$103))</f>
        <v>0</v>
      </c>
      <c r="AU80" s="1" cm="1">
        <f t="array" ref="AU80">_xlfn.IFS(OR(AU$6="",AND(A80&gt;=DA$6,B80&gt;=DB$6),AND(A80&lt;DA$4,B80&lt;DB$4)),0,AND(A80=DA$4,DA$4&lt;=DB$4),AU$6,AND(B80=DB$4,DA$4&gt;=DB$4),AU$6,OR(A80&gt;DA$4,B80&gt;DB$4),AU79*(1+Setup!C$103))</f>
        <v>0</v>
      </c>
      <c r="AV80" s="1" cm="1">
        <f t="array" ref="AV80">_xlfn.IFS(OR(AV$6="",AND(A80&gt;=DA$6,B80&gt;=DB$6),AND(A80&lt;DA$4,B80&lt;DB$4)),0,AND(A80=DA$4,DA$4&lt;=DB$4),AV$6,AND(B80=DB$4,DA$4&gt;=DB$4),AV$6,OR(A80&gt;DA$4,B80&gt;DB$4),AV79*(1+Setup!C$103))</f>
        <v>0</v>
      </c>
      <c r="AW80" s="1">
        <f t="shared" si="75"/>
        <v>0</v>
      </c>
      <c r="AY80" s="1" cm="1">
        <f t="array" ref="AY80">_xlfn.IFS(OR(AND(A80&gt;=DA$6,B80&gt;=DB$6),A80&lt;DA$5),0,AND(A80=DA$5,YEAR(C80)&gt;=Lookups!D$89),VLOOKUP(A80,Lookups!B$94:F$102,3),AND(A80=DA$5,YEAR(C80)&lt;Lookups!D$89),VLOOKUP(A80,Lookups!B$94:F$102,2),AND(A80&gt;DA$5,YEAR(C80)=Lookups!D$89),(AY79*Lookups!D$90)*(1+Lookups!C$20),AND(A80&gt;DA$5,YEAR(C80)&lt;&gt;Lookups!D$89),AY79*(1+Lookups!C$20))</f>
        <v>0</v>
      </c>
      <c r="AZ80" s="1" cm="1">
        <f t="array" ref="AZ80">_xlfn.IFS(OR(ISBLANK(Setup!K$91),Setup!K$91=0,AND(A80&gt;=DA$6,B80&gt;=DB$6),B80&lt;DB$5),0,AND(B80=DB$5,YEAR(C80)&gt;=Lookups!D$89),VLOOKUP(B80,Lookups!B$94:F$102,5),AND(B80=DB$5,YEAR(C80)&lt;Lookups!D$89),VLOOKUP(B80,Lookups!B$94:F$102,4),AND(B80&gt;DB$5,YEAR(C80)=Lookups!D$89),(AZ79*Lookups!D$90)*(1+Lookups!C$20),AND(B80&gt;DB$5,YEAR(C80)&lt;&gt;Lookups!D$89),AZ79*(1+Lookups!C$20))</f>
        <v>0</v>
      </c>
      <c r="BA80" s="65">
        <f>IF(OR(AY80&gt;0,AZ80&gt;0),(AY80+AZ80)*Lookups!D$120,0)</f>
        <v>0</v>
      </c>
      <c r="BB80" s="1" cm="1">
        <f t="array" ref="BB80">_xlfn.IFS(AND(A80&lt;DA$4,B80&lt;DB$4),0,OR(_xlfn.XOR(A80&gt;DA$6,B80&gt;DB$6),_xlfn.XOR(A80&gt;=DA$4,B80&gt;=DB$4)),IF(AP80-SUM(AW80,AY80:AZ80)&gt;0,AP80-SUM(AW80,AY80:AZ80),0),AQ80-SUM(AW80,AY80:AZ80)&gt;0, AQ80-SUM(AW80,AY80:AZ80),AQ80-SUM(AW80,AY80:AZ80)&lt;=0,0)</f>
        <v>0</v>
      </c>
      <c r="BD80" s="1" cm="1">
        <f t="array" ref="BD80">_xlfn.IFS(AND(A80&gt;=DA$6,B80&gt;=DB$6),0,AND(A80&gt;=DA$6,B80&gt;=Lookups!C$35),D80/VLOOKUP(B80,Lookups!C$37:D$67,2),A80&lt;Lookups!$C$35,0,A80&gt;=Lookups!C$35,D80/VLOOKUP(A80,Lookups!C$37:D$67,2))</f>
        <v>0</v>
      </c>
      <c r="BE80" s="1" cm="1">
        <f t="array" ref="BE80">_xlfn.IFS(AND(A80&gt;=DA$6,B80&gt;=DB$6),0,AND(B80&gt;=DB$6,A80&gt;=Lookups!C$35),F80/VLOOKUP(A80,Lookups!C$37:D$67,2),B80&lt;Lookups!$C$35,0,B80&gt;=Lookups!C$35,F80/VLOOKUP(B80,Lookups!C$37:D$67,2))</f>
        <v>0</v>
      </c>
      <c r="BF80" s="1" cm="1">
        <f t="array" ref="BF80">_xlfn.IFS($BB80&lt;=0,0,AND(A80&gt;=DA$4,B80&gt;=DB$4,$BB80*I80&lt;(BD80+BE80)),0,AND(A80&gt;=DA$4,B80&gt;=DB$4,H80&gt;=(BB80*I80)-BD80-BE80),(BB80*I80)-BD80-BE80,AND(A80&gt;=DA$4,B80&gt;=DB$4,H80&lt;(BB80*I80)-BD80-BE80),H80,AND(A80&gt;=DA$4,$BB80*I80&lt;(BD80)),0,AND(A80&gt;=DA$4,H80&gt;=(BB80*I80)-BD80),(BB80*I80)-BD80,AND(A80&gt;=DA$4,H80&lt;(BB80*I80)-BD80),H80,AND(B80&gt;=DB$4,$BB80*I80&lt;(BE80)),0,AND(B80&gt;=DB$4,H80&gt;=(BB80*I80)-BE80),(BB80*I80)-BE80,AND(B80&gt;=DB$4,H80&lt;(BB80*I80)-BE80),H80)</f>
        <v>0</v>
      </c>
      <c r="BG80" s="1">
        <f t="shared" si="66"/>
        <v>0</v>
      </c>
      <c r="BH80" s="1" cm="1">
        <f t="array" ref="BH80">_xlfn.IFS(OR(D80=0,A80&lt;DA$4),0,AND(A80&gt;=DA$4,B80&gt;=DB$4,D80&lt;BD80+($BF80*(D80/$H80))+(-$BP80*(D80/$H80))),D80,AND(A80&gt;=DA$4,B80&gt;=DB$4,$BB80&gt;$BG80),BD80+($BF80*(D80/$H80))+(-$BP80*(D80/$H80)),AND(A80&gt;=DA$4,B80&gt;=DB$4,OR(A80&gt;DA$6, B80&gt;DB$6),$AP80-SUM($AW80,$AY80:$AZ80)&lt;0),BD80+($BF80*(D80/$H80))+(-$BP80*(D80/$H80))+(BP80*(D80/$H80)),AND(A80&gt;=DA$4,B80&gt;=DB$4,$AQ80-SUM($AW80,$AY80:$AZ80)&lt;0),BD80+($BF80*(D80/$H80))+(-$BP80*(D80/$H80))+(BP80*(D80/$H80)),AND(A80&gt;=DA$4,D80&lt;BD80+$BF80-$BP80),D80,AND(A80&gt;=DA$4,$AP80-SUM($AW80,$AY80:$AZ80)&lt;0),BD80+($BF80*(D80/$H80))+(-$BP80*(D80/$H80))+(BP80*(D80/$H80)),A80&gt;=DA$4,BD80+$BF80-$BP80)</f>
        <v>0</v>
      </c>
      <c r="BI80" s="1" cm="1">
        <f t="array" ref="BI80">_xlfn.IFS(OR(F80=0,B80&lt;DB$4),0,AND(A80&gt;=DA$4,B80&gt;=DB$4,F80&lt;BE80+($BF80*(F80/$H80))+(-$BP80*(F80/$H80))),F80,AND(A80&gt;=DA$4,B80&gt;=DB$4,$BB80&gt;$BG80),BE80+($BF80*(F80/$H80))+(-$BP80*(F80/$H80)),AND(A80&gt;=DA$4,B80&gt;=DB$4,OR(A80&gt;DA$6, B80&gt;DB$6),$AP80-SUM($AW80,$AY80:$AZ80)&lt;0),BE80+($BF80*(F80/$H80))+(-$BP80*(F80/$H80))+(BP80*(F80/$H80)),AND(A80&gt;=DA$4,B80&gt;=DB$4,$AQ80-SUM($AW80,$AY80:$AZ80)&lt;0),BE80+($BF80*(F80/$H80))+(-$BP80*(F80/$H80))+(BP80*(F80/$H80)),AND(B80&gt;=DB$4,F80&lt;BE80+$BF80-$BP80),F80,AND(B80&gt;=DB$4,$AP80-SUM($AW80,$AY80:$AZ80)&lt;0),BE80+($BF80*(F80/$H80))+(-$BP80*(F80/$H80))+(BP80*(F80/$H80)),B80&gt;=DB$4,BE80+$BF80-$BP80)</f>
        <v>0</v>
      </c>
      <c r="BJ80" s="64" cm="1">
        <f t="array" ref="BJ80">IF(AW80+BA80+BG80&gt;0, AW80+BA80+BG80-_xlfn.IFS(AND(A80&gt;=65,B80&gt;=65),VLOOKUP(Setup!I$4,Lookups!C$133:F$136,4),OR(A80&gt;=65,B80&gt;=65),VLOOKUP(Setup!I$4,Lookups!C$133:E$136,3),AND(A80&lt;65,B80&lt;65),VLOOKUP(Setup!I$4,Lookups!C$133:D$136,2)),0)</f>
        <v>0</v>
      </c>
      <c r="BK80" s="1" cm="1">
        <f t="array" ref="BK80">IF(BJ80&gt;0,_xlfn.IFS(Setup!I$4=Lookups!D$109,-_xlfn.IFS($BJ80&gt;=Lookups!D$157, Lookups!F$157+($BJ80-Lookups!D$157)*Lookups!G$157,$BJ80&gt;=Lookups!D$156, Lookups!F$156+($BJ80-Lookups!D$156)*Lookups!G$156,$BJ80&gt;=Lookups!D$155, Lookups!F$155+($BJ80-Lookups!D$155)*Lookups!G$155,$BJ80&gt;=Lookups!D$154, Lookups!F$154+($BJ80-Lookups!D$154)*Lookups!G$154,$BJ80&gt;=Lookups!D$153, Lookups!F$153+($BJ80-Lookups!D$153)*Lookups!G$153,$BJ80&gt;=Lookups!D$152, Lookups!F$152+($BJ80-Lookups!D$152)*Lookups!G$152,$BJ80&lt;Lookups!D$152,$BJ80*Lookups!G$151),Setup!I$4=Lookups!D$110,-_xlfn.IFS($BJ80&gt;=Lookups!D$167, Lookups!F$167+($BJ80-Lookups!D$167)*Lookups!G$167,$BJ80&gt;=Lookups!D$166, Lookups!F$166+($BJ80-Lookups!D$166)*Lookups!G$166,$BJ80&gt;=Lookups!D$165, Lookups!F$165+($BJ80-Lookups!D$165)*Lookups!G$165,$BJ80&gt;=Lookups!D$164, Lookups!F$164+($BJ80-Lookups!D$164)*Lookups!G$164,$BJ80&gt;=Lookups!D$163, Lookups!F$163+($BJ80-Lookups!D$163)*Lookups!G$163,$BJ80&gt;=Lookups!D$162, Lookups!F$162+($BJ80-Lookups!D$162)*Lookups!G$162,$BJ80&lt;Lookups!D$162,$BJ80*Lookups!G$161),Setup!I$4=Lookups!D$111,-_xlfn.IFS($BJ80&gt;=Lookups!D$177, Lookups!F$177+($BJ80-Lookups!D$177)*Lookups!G$177,$BJ80&gt;=Lookups!D$176, Lookups!F$176+($BJ80-Lookups!D$176)*Lookups!G$176,$BJ80&gt;=Lookups!D$175, Lookups!F$175+($BJ80-Lookups!D$175)*Lookups!G$175,$BJ80&gt;=Lookups!D$174, Lookups!F$174+($BJ80-Lookups!D$174)*Lookups!G$174,$BJ80&gt;=Lookups!D$173, Lookups!F$173+($BJ80-Lookups!D$173)*Lookups!G$173,$BJ80&gt;=Lookups!D$172, Lookups!F$172+($BJ80-Lookups!D$172)*Lookups!G$172,$BJ80&lt;Lookups!D$172,$BJ80*Lookups!G$171), Setup!I$4=Lookups!D$112,-_xlfn.IFS($BJ80&gt;=Lookups!D$187, Lookups!F$187+($BJ80-Lookups!D$187)*Lookups!G$187,$BJ80&gt;=Lookups!D$186, Lookups!F$186+($BJ80-Lookups!D$186)*Lookups!G$186,$BJ80&gt;=Lookups!D$185, Lookups!F$185+($BJ80-Lookups!D$185)*Lookups!G$185,$BJ80&gt;=Lookups!D$184, Lookups!F$184+($BJ80-Lookups!D$184)*Lookups!G$184,$BJ80&gt;=Lookups!D$183, Lookups!F$183+($BJ80-Lookups!D$183)*Lookups!G$183,$BJ80&gt;=Lookups!D$182, Lookups!F$182+($BJ80-Lookups!D$182)*Lookups!G$182,$BJ80&lt;Lookups!D$182,$BJ80*Lookups!G$181)),0)</f>
        <v>0</v>
      </c>
      <c r="BL80" s="18">
        <f t="shared" si="76"/>
        <v>0</v>
      </c>
      <c r="BM80" s="134">
        <f t="shared" si="67"/>
        <v>0</v>
      </c>
      <c r="BN80" s="134" cm="1">
        <f t="array" aca="1" ref="BN80" ca="1">INDIRECT(Setup!I$6&amp;"!"&amp;"A"&amp;ROW())</f>
        <v>0</v>
      </c>
      <c r="BO80" s="134">
        <f t="shared" si="84"/>
        <v>0</v>
      </c>
      <c r="BP80" s="1">
        <f t="shared" si="77"/>
        <v>0</v>
      </c>
      <c r="BQ80" s="1">
        <f t="shared" si="85"/>
        <v>0</v>
      </c>
      <c r="BS80" s="1">
        <f t="shared" si="86"/>
        <v>0</v>
      </c>
      <c r="BT80" s="1" cm="1">
        <f t="array" ref="BT80">-IF(BS80&gt;0,_xlfn.IFS((AW80+BA80+BG80+BS80)&gt;=VLOOKUP(Setup!I$4,Lookups!C$210:E$213,3),BS80*Lookups!D$203,(AW80+BA80+BG80+BS80)&gt;=VLOOKUP(Setup!I$4,Lookups!C$210:E$213,2),BS80*Lookups!D$197,(AW80+BA80+BG80+BS80)&lt;VLOOKUP(Setup!I$4,Lookups!C$210:E$213,2),0),0)</f>
        <v>0</v>
      </c>
      <c r="BU80" s="18">
        <f t="shared" si="87"/>
        <v>0</v>
      </c>
      <c r="BV80" s="1">
        <f t="shared" si="88"/>
        <v>0</v>
      </c>
      <c r="BW80" s="1" cm="1">
        <f t="array" aca="1" ref="BW80" ca="1">INDIRECT(Setup!I$6&amp;"!"&amp;"A"&amp;ROW()+100)</f>
        <v>0</v>
      </c>
      <c r="BX80" s="1">
        <f t="shared" ca="1" si="78"/>
        <v>0</v>
      </c>
      <c r="BY80" s="1">
        <f t="shared" ca="1" si="79"/>
        <v>0</v>
      </c>
      <c r="CA80" s="1">
        <f t="shared" si="91"/>
        <v>0</v>
      </c>
      <c r="CC80" s="1" cm="1">
        <f t="array" ref="CC80">_xlfn.IFS(AND(A80&lt;$DA$4,B80&lt;$DB$4),0,AND(AND(A80&gt;=$DA$4,B80&gt;=$DB$4),AND(A80&lt;=$DA$6,B80&lt;=$DB$6),AND(BH80=0,BI80=0)),SUM(AW80,AY80:AZ80,BD80:BF80,BP80,BS80,CA80)-AQ80,AND(AND(A80&gt;=$DA$4,B80&gt;=$DB$4),AND(A80&lt;=$DA$6,B80&lt;=$DB$6)),SUM(AW80,AY80:AZ80,BD80:BF80,BS80,CA80)-AQ80,AND(OR(A80&gt;=$DA$4,B80&gt;=$DB$4),AND(BH80=0,BI80=0)),SUM(AW80,AY80:AZ80,BD80:BF80,BP80,BS80,CA80)-AP80,OR(A80&gt;=$DA$4,B80&gt;=$DB$4),SUM(AW80,AY80:AZ80,BD80:BF80,BS80,CA80)-AP80)</f>
        <v>0</v>
      </c>
      <c r="CD80" s="142" t="str">
        <f t="shared" si="89"/>
        <v/>
      </c>
    </row>
    <row r="81" spans="1:82" x14ac:dyDescent="0.3">
      <c r="A81" s="354">
        <f t="shared" si="68"/>
        <v>74</v>
      </c>
      <c r="B81" s="354">
        <f t="shared" si="69"/>
        <v>74</v>
      </c>
      <c r="C81" s="359">
        <f t="shared" si="90"/>
        <v>27030</v>
      </c>
      <c r="D81" s="326" cm="1">
        <f t="array" ref="D81">_xlfn.IFS(AND(A81&gt;DA$6,B81&gt;DB$6),0,AND(A81&gt;DA$3,A81&lt;=DA$4),D80*(1+DH$1),OR(A81&gt;DA$6,A81&gt;DA$4),(D80-BH80)*(1+DH$2),A81&lt;=DA$4,(D80*(1+DH$1))+(D$4))</f>
        <v>0</v>
      </c>
      <c r="E81" s="375"/>
      <c r="F81" s="326" cm="1">
        <f t="array" ref="F81">_xlfn.IFS(AND(A81&gt;DA$6,B81&gt;DB$6),0,AND(B81&gt;DB$3,B81&lt;=DB$4),F80*(1+DH$1),OR(B81&gt;DB$6,B81&gt;DB$4),(F80-BI80)*(1+DH$2),B81&lt;=DB$4,(F80*(1+DH$1))+(F$4))</f>
        <v>0</v>
      </c>
      <c r="G81" s="375"/>
      <c r="H81" s="1">
        <f t="shared" si="93"/>
        <v>0</v>
      </c>
      <c r="I81" s="2">
        <f t="shared" si="70"/>
        <v>0</v>
      </c>
      <c r="J81" s="14">
        <f t="shared" si="94"/>
        <v>0</v>
      </c>
      <c r="L81" s="402" cm="1">
        <f t="array" ref="L81">_xlfn.IFS(AND(A81&gt;DA$6,B81&gt;DB$6),0,A81&lt;DA$6,0,A81=DA$6,L$4,AND(A81&gt;DA$6,B81&lt;=DB$4),L80*(1+DH$1),AND(A81&gt;DA$6,B81&gt;DB$4),IF(Y80=0,0,(L80-((L80/Y80)*BY80))*(1+DH$2)))</f>
        <v>0</v>
      </c>
      <c r="M81" s="402" cm="1">
        <f t="array" ref="M81">_xlfn.IFS(AND(A81&gt;DA$6,B81&gt;DB$6),0,B81&lt;DB$6,0,B81=DB$6,M$4,AND(B81&gt;DB$6,A81&lt;=DA$4),M80*(1+DH$1),AND(A81&gt;DA$4,B81&gt;DB$6),IF(Y80=0,0,(M80-((M80/Y80)*BY80))*(1+DH$2)))</f>
        <v>0</v>
      </c>
      <c r="N81" s="327"/>
      <c r="O81" s="327" cm="1">
        <f t="array" ref="O81">_xlfn.IFS(OR(ISBLANK(Setup!C$63),Setup!C$63&gt;YEAR(C81),AND(A81&gt;DA$6,B81&gt;DB$6),ISBLANK(Y80)),0,Setup!C$63=YEAR(C81),Setup!C$62,AND(OR(A81&lt;=DA$4,B81&lt;=DB$4),Setup!C$63&lt;YEAR(C81)),O80*(1+DH$1),AND(A81&gt;DA$4,B81&gt;DB$4,Setup!C$63&lt;YEAR(C81)),IF(Y80=0,0,(O80-((O80/Y80)*BY80))*(1+DH$2)))</f>
        <v>0</v>
      </c>
      <c r="P81" s="327" cm="1">
        <f t="array" ref="P81">_xlfn.IFS(OR(ISBLANK(Setup!C$67),Setup!C$67&gt;YEAR(C81),AND(A81&gt;DA$6,B81&gt;DB$6)),0,Setup!C$67=YEAR(C81),Setup!C$66,AND(OR(A81&lt;=DA$4,B81&lt;=DB$4),Setup!C$67&lt;YEAR(C81)),P80*(1+DH$1),AND(A81&gt;DA$4,B81&gt;DB$4,Setup!C$67&lt;YEAR(C81)),IF(Y80=0,0,(P80-((P80/Y80)*BY80))*(1+DH$2)))</f>
        <v>0</v>
      </c>
      <c r="Q81" s="327" cm="1">
        <f t="array" ref="Q81">_xlfn.IFS(OR(ISBLANK(Setup!C$71),Setup!C$71&gt;YEAR(C81),AND(A81&gt;DA$6,B81&gt;DB$6)),0,Setup!C$71=YEAR(C81),Setup!C$70,AND(OR(A81&lt;=DA$4,B81&lt;=DB$4),Setup!C$71&lt;YEAR(C81)),Q80*(1+DH$1),AND(A81&gt;DA$4,B81&gt;DB$4,Setup!C$71&lt;YEAR(C81)),IF(Y80=0,0,(Q80-((Q80/Y80)*BY80))*(1+DH$2)))</f>
        <v>0</v>
      </c>
      <c r="R81" s="327" cm="1">
        <f t="array" ref="R81">_xlfn.IFS(OR(ISBLANK(Setup!C$75),Setup!C$75&gt;YEAR(C81),AND(A81&gt;DA$6,B81&gt;DB$6)),0,Setup!C$75=YEAR(C81),Setup!C$74,AND(OR(A81&lt;=DA$4,B81&lt;=DB$4),Setup!C$75&lt;YEAR(C81)),R80*(1+DH$1),AND(A81&gt;DA$4,B81&gt;DB$4,Setup!C$75&lt;YEAR(C81)),IF(Y80=0,0,(R80-((R80/Y80)*BY80))*(1+DH$2)))</f>
        <v>0</v>
      </c>
      <c r="S81" s="327"/>
      <c r="T81" s="326" cm="1">
        <f t="array" ref="T81">_xlfn.IFS(AND($A81&gt;$DA$6,$B81&gt;$DB$6),0,AND($W$2=$DA$2,$A81&gt;$DA$4),IF($Y80=0,0,(T80-((T80/$Y80)*$BY80))*(1+$DH$2)),AND($W$2=$DB$2,$B81&gt;$DB$4),IF($Y80=0,0,(T80-((T80/$Y80)*$BY80))*(1+$DH$2)),AND($W$2=$DA$2,OR($A81&gt;$DA$3,$A81&gt;$DA$6)),(T80*(1+$DH$1)),AND($W$2=$DB$2,OR($B81&gt;$DB$3,$B81&gt;$DB$6)),(T80*(1+$DH$1)),AND($W$2=$DA$2,$A81&lt;=$DA$3,$A81&lt;=$DA$4,$A81&lt;=$DA$5),(T80*(1+$DH$1))+(T$4),AND($W$2=$DB$2,$B81&lt;=$DB$3,$B81&lt;=$DB$4,$B81&lt;=$DB$5),(T80*(1+$DH$1))+(T$4))</f>
        <v>0</v>
      </c>
      <c r="U81" s="326" cm="1">
        <f t="array" ref="U81">_xlfn.IFS(AND($A81&gt;$DA$6,$B81&gt;$DB$6),0,AND($W$2=$DA$2,$A81&gt;$DA$4),IF($Y80=0,0,(U80-((U80/$Y80)*$BY80))*(1+$DH$2)),AND($W$2=$DB$2,$B81&gt;$DB$4),IF($Y80=0,0,(U80-((U80/$Y80)*$BY80))*(1+$DH$2)),AND($W$2=$DA$2,OR($A81&gt;$DA$3,$A81&gt;$DA$6)),(U80*(1+$DH$1)),AND($W$2=$DB$2,OR($B81&gt;$DB$3,$B81&gt;$DB$6)),(U80*(1+$DH$1)),AND($W$2=$DA$2,$A81&lt;=$DA$3,$A81&lt;=$DA$4,$A81&lt;=$DA$5),(U80*(1+$DH$1))+(U$4),AND($W$2=$DB$2,$B81&lt;=$DB$3,$B81&lt;=$DB$4,$B81&lt;=$DB$5),(U80*(1+$DH$1))+(U$4))</f>
        <v>0</v>
      </c>
      <c r="V81" s="326" cm="1">
        <f t="array" ref="V81">_xlfn.IFS(AND($A81&gt;$DA$6,$B81&gt;$DB$6),0,AND($W$2=$DA$2,$A81&gt;$DA$4),IF($Y80=0,0,(V80-((V80/$Y80)*$BY80))*(1+$DH$2)),AND($W$2=$DB$2,$B81&gt;$DB$4),IF($Y80=0,0,(V80-((V80/$Y80)*$BY80))*(1+$DH$2)),AND($W$2=$DA$2,OR($A81&gt;$DA$3,$A81&gt;$DA$6)),(V80*(1+$DH$1)),AND($W$2=$DB$2,OR($B81&gt;$DB$3,$B81&gt;$DB$6)),(V80*(1+$DH$1)),AND($W$2=$DA$2,$A81&lt;=$DA$3,$A81&lt;=$DA$4,$A81&lt;=$DA$5),(V80*(1+$DH$1))+(V$4),AND($W$2=$DB$2,$B81&lt;=$DB$3,$B81&lt;=$DB$4,$B81&lt;=$DB$5),(V80*(1+$DH$1))+(V$4))</f>
        <v>0</v>
      </c>
      <c r="W81" s="326" cm="1">
        <f t="array" ref="W81">_xlfn.IFS(AND($A81&gt;$DA$6,$B81&gt;$DB$6),0,AND($W$2=$DA$2,$A81&gt;$DA$4),IF($Y80=0,0,(W80-((W80/$Y80)*$BY80))*(1+$DH$2)),AND($W$2=$DB$2,$B81&gt;$DB$4),IF($Y80=0,0,(W80-((W80/$Y80)*$BY80))*(1+$DH$2)),AND($W$2=$DA$2,OR($A81&gt;$DA$3,$A81&gt;$DA$6)),(W80*(1+$DH$1)),AND($W$2=$DB$2,OR($B81&gt;$DB$3,$B81&gt;$DB$6)),(W80*(1+$DH$1)),AND($W$2=$DA$2,$A81&lt;=$DA$3,$A81&lt;=$DA$4,$A81&lt;=$DA$5),(W80*(1+$DH$1))+(W$4),AND($W$2=$DB$2,$B81&lt;=$DB$3,$B81&lt;=$DB$4,$B81&lt;=$DB$5),(W80*(1+$DH$1))+(W$4))</f>
        <v>0</v>
      </c>
      <c r="Y81" s="1">
        <f t="shared" si="80"/>
        <v>0</v>
      </c>
      <c r="Z81" s="2">
        <f t="shared" si="71"/>
        <v>0</v>
      </c>
      <c r="AA81" s="375"/>
      <c r="AC81" s="326" cm="1">
        <f t="array" ref="AC81">_xlfn.IFS(AND(A81&gt;DA$6,B81&gt;DB$6),0,AND(A81&gt;DA$4,B81&gt;DB$4),IF(AG80=0,0,(AC80-((AC80/AG80)*CA80))*(1+DH$2)),OR(A81&gt;DA$3,A81&gt;DA$6),AC80*(1+DH$1),A81&gt;DA$4,(AC80-CA80)*(1+DH$2),AND(A81&lt;=DA$3,A81&lt;=DA$4,A81&lt;=DA$6),(AC80*(1+DH$1))+(AC$4))</f>
        <v>0</v>
      </c>
      <c r="AD81" s="375"/>
      <c r="AE81" s="326" cm="1">
        <f t="array" ref="AE81">_xlfn.IFS(AND(A81&gt;DA$6,B81&gt;DB$6),0,AND(A81&gt;DA$4,B81&gt;DB$4),IF(AG80=0,0,(AE80-((AE80/AG80)*CA80))*(1+DH$2)),OR(B81&gt;DB$3,B81&gt;DB$6),AE80*(1+DH$1),B81&gt;DB$4,(AE80-CA80)*(1+DH$2),AND(B81&lt;=DB$3,B81&lt;=DB$4,B81&lt;=DB$6),(AE80*(1+DH$1))+(AE$4))</f>
        <v>0</v>
      </c>
      <c r="AF81" s="375"/>
      <c r="AG81" s="1">
        <f t="shared" si="92"/>
        <v>0</v>
      </c>
      <c r="AH81" s="2">
        <f t="shared" si="81"/>
        <v>0</v>
      </c>
      <c r="AI81" s="14">
        <f t="shared" si="72"/>
        <v>0</v>
      </c>
      <c r="AK81" s="1">
        <f t="shared" si="82"/>
        <v>0</v>
      </c>
      <c r="AL81" s="14">
        <f t="shared" si="73"/>
        <v>0</v>
      </c>
      <c r="AM81" s="14" t="str">
        <f t="shared" si="83"/>
        <v/>
      </c>
      <c r="AO81" s="15">
        <f t="shared" si="74"/>
        <v>0</v>
      </c>
      <c r="AP81" s="1">
        <f>IF(AND(B81&gt;=$DB$6,A81&gt;=$DA$6),0,AP80*(1+Lookups!C$12))</f>
        <v>0</v>
      </c>
      <c r="AQ81" s="1">
        <f>IF(AND(B81&gt;=$DB$6,A81&gt;=$DA$6),0,AQ80*(1+Lookups!C$12))</f>
        <v>0</v>
      </c>
      <c r="AS81" s="1" cm="1">
        <f t="array" ref="AS81">_xlfn.IFS(OR(AS$6="",AND(A81&gt;=DA$6,B81&gt;=DB$6),AND(A81&lt;DA$4,B81&lt;DB$4)),0,AND(A81=DA$4,DA$4&lt;=DB$4),AS$6,AND(B81=DB$4,DA$4&gt;=DB$4),AS$6,OR(A81&gt;DA$4,B81&gt;DB$4),AS80*(1+Setup!C$103))</f>
        <v>0</v>
      </c>
      <c r="AT81" s="1" cm="1">
        <f t="array" ref="AT81">_xlfn.IFS(OR(AT$6="",AND(A81&gt;=DA$6,B81&gt;=DB$6),AND(A81&lt;DA$4,B81&lt;DB$4)),0,AND(A81=DA$4,DA$4&lt;=DB$4),AT$6,AND(B81=DB$4,DA$4&gt;=DB$4),AT$6,OR(A81&gt;DA$4,B81&gt;DB$4),AT80*(1+Setup!C$103))</f>
        <v>0</v>
      </c>
      <c r="AU81" s="1" cm="1">
        <f t="array" ref="AU81">_xlfn.IFS(OR(AU$6="",AND(A81&gt;=DA$6,B81&gt;=DB$6),AND(A81&lt;DA$4,B81&lt;DB$4)),0,AND(A81=DA$4,DA$4&lt;=DB$4),AU$6,AND(B81=DB$4,DA$4&gt;=DB$4),AU$6,OR(A81&gt;DA$4,B81&gt;DB$4),AU80*(1+Setup!C$103))</f>
        <v>0</v>
      </c>
      <c r="AV81" s="1" cm="1">
        <f t="array" ref="AV81">_xlfn.IFS(OR(AV$6="",AND(A81&gt;=DA$6,B81&gt;=DB$6),AND(A81&lt;DA$4,B81&lt;DB$4)),0,AND(A81=DA$4,DA$4&lt;=DB$4),AV$6,AND(B81=DB$4,DA$4&gt;=DB$4),AV$6,OR(A81&gt;DA$4,B81&gt;DB$4),AV80*(1+Setup!C$103))</f>
        <v>0</v>
      </c>
      <c r="AW81" s="1">
        <f t="shared" si="75"/>
        <v>0</v>
      </c>
      <c r="AY81" s="1" cm="1">
        <f t="array" ref="AY81">_xlfn.IFS(OR(AND(A81&gt;=DA$6,B81&gt;=DB$6),A81&lt;DA$5),0,AND(A81=DA$5,YEAR(C81)&gt;=Lookups!D$89),VLOOKUP(A81,Lookups!B$94:F$102,3),AND(A81=DA$5,YEAR(C81)&lt;Lookups!D$89),VLOOKUP(A81,Lookups!B$94:F$102,2),AND(A81&gt;DA$5,YEAR(C81)=Lookups!D$89),(AY80*Lookups!D$90)*(1+Lookups!C$20),AND(A81&gt;DA$5,YEAR(C81)&lt;&gt;Lookups!D$89),AY80*(1+Lookups!C$20))</f>
        <v>0</v>
      </c>
      <c r="AZ81" s="1" cm="1">
        <f t="array" ref="AZ81">_xlfn.IFS(OR(ISBLANK(Setup!K$91),Setup!K$91=0,AND(A81&gt;=DA$6,B81&gt;=DB$6),B81&lt;DB$5),0,AND(B81=DB$5,YEAR(C81)&gt;=Lookups!D$89),VLOOKUP(B81,Lookups!B$94:F$102,5),AND(B81=DB$5,YEAR(C81)&lt;Lookups!D$89),VLOOKUP(B81,Lookups!B$94:F$102,4),AND(B81&gt;DB$5,YEAR(C81)=Lookups!D$89),(AZ80*Lookups!D$90)*(1+Lookups!C$20),AND(B81&gt;DB$5,YEAR(C81)&lt;&gt;Lookups!D$89),AZ80*(1+Lookups!C$20))</f>
        <v>0</v>
      </c>
      <c r="BA81" s="65">
        <f>IF(OR(AY81&gt;0,AZ81&gt;0),(AY81+AZ81)*Lookups!D$120,0)</f>
        <v>0</v>
      </c>
      <c r="BB81" s="1" cm="1">
        <f t="array" ref="BB81">_xlfn.IFS(AND(A81&lt;DA$4,B81&lt;DB$4),0,OR(_xlfn.XOR(A81&gt;DA$6,B81&gt;DB$6),_xlfn.XOR(A81&gt;=DA$4,B81&gt;=DB$4)),IF(AP81-SUM(AW81,AY81:AZ81)&gt;0,AP81-SUM(AW81,AY81:AZ81),0),AQ81-SUM(AW81,AY81:AZ81)&gt;0, AQ81-SUM(AW81,AY81:AZ81),AQ81-SUM(AW81,AY81:AZ81)&lt;=0,0)</f>
        <v>0</v>
      </c>
      <c r="BD81" s="1" cm="1">
        <f t="array" ref="BD81">_xlfn.IFS(AND(A81&gt;=DA$6,B81&gt;=DB$6),0,AND(A81&gt;=DA$6,B81&gt;=Lookups!C$35),D81/VLOOKUP(B81,Lookups!C$37:D$67,2),A81&lt;Lookups!$C$35,0,A81&gt;=Lookups!C$35,D81/VLOOKUP(A81,Lookups!C$37:D$67,2))</f>
        <v>0</v>
      </c>
      <c r="BE81" s="1" cm="1">
        <f t="array" ref="BE81">_xlfn.IFS(AND(A81&gt;=DA$6,B81&gt;=DB$6),0,AND(B81&gt;=DB$6,A81&gt;=Lookups!C$35),F81/VLOOKUP(A81,Lookups!C$37:D$67,2),B81&lt;Lookups!$C$35,0,B81&gt;=Lookups!C$35,F81/VLOOKUP(B81,Lookups!C$37:D$67,2))</f>
        <v>0</v>
      </c>
      <c r="BF81" s="1" cm="1">
        <f t="array" ref="BF81">_xlfn.IFS($BB81&lt;=0,0,AND(A81&gt;=DA$4,B81&gt;=DB$4,$BB81*I81&lt;(BD81+BE81)),0,AND(A81&gt;=DA$4,B81&gt;=DB$4,H81&gt;=(BB81*I81)-BD81-BE81),(BB81*I81)-BD81-BE81,AND(A81&gt;=DA$4,B81&gt;=DB$4,H81&lt;(BB81*I81)-BD81-BE81),H81,AND(A81&gt;=DA$4,$BB81*I81&lt;(BD81)),0,AND(A81&gt;=DA$4,H81&gt;=(BB81*I81)-BD81),(BB81*I81)-BD81,AND(A81&gt;=DA$4,H81&lt;(BB81*I81)-BD81),H81,AND(B81&gt;=DB$4,$BB81*I81&lt;(BE81)),0,AND(B81&gt;=DB$4,H81&gt;=(BB81*I81)-BE81),(BB81*I81)-BE81,AND(B81&gt;=DB$4,H81&lt;(BB81*I81)-BE81),H81)</f>
        <v>0</v>
      </c>
      <c r="BG81" s="1">
        <f t="shared" si="66"/>
        <v>0</v>
      </c>
      <c r="BH81" s="1" cm="1">
        <f t="array" ref="BH81">_xlfn.IFS(OR(D81=0,A81&lt;DA$4),0,AND(A81&gt;=DA$4,B81&gt;=DB$4,D81&lt;BD81+($BF81*(D81/$H81))+(-$BP81*(D81/$H81))),D81,AND(A81&gt;=DA$4,B81&gt;=DB$4,$BB81&gt;$BG81),BD81+($BF81*(D81/$H81))+(-$BP81*(D81/$H81)),AND(A81&gt;=DA$4,B81&gt;=DB$4,OR(A81&gt;DA$6, B81&gt;DB$6),$AP81-SUM($AW81,$AY81:$AZ81)&lt;0),BD81+($BF81*(D81/$H81))+(-$BP81*(D81/$H81))+(BP81*(D81/$H81)),AND(A81&gt;=DA$4,B81&gt;=DB$4,$AQ81-SUM($AW81,$AY81:$AZ81)&lt;0),BD81+($BF81*(D81/$H81))+(-$BP81*(D81/$H81))+(BP81*(D81/$H81)),AND(A81&gt;=DA$4,D81&lt;BD81+$BF81-$BP81),D81,AND(A81&gt;=DA$4,$AP81-SUM($AW81,$AY81:$AZ81)&lt;0),BD81+($BF81*(D81/$H81))+(-$BP81*(D81/$H81))+(BP81*(D81/$H81)),A81&gt;=DA$4,BD81+$BF81-$BP81)</f>
        <v>0</v>
      </c>
      <c r="BI81" s="1" cm="1">
        <f t="array" ref="BI81">_xlfn.IFS(OR(F81=0,B81&lt;DB$4),0,AND(A81&gt;=DA$4,B81&gt;=DB$4,F81&lt;BE81+($BF81*(F81/$H81))+(-$BP81*(F81/$H81))),F81,AND(A81&gt;=DA$4,B81&gt;=DB$4,$BB81&gt;$BG81),BE81+($BF81*(F81/$H81))+(-$BP81*(F81/$H81)),AND(A81&gt;=DA$4,B81&gt;=DB$4,OR(A81&gt;DA$6, B81&gt;DB$6),$AP81-SUM($AW81,$AY81:$AZ81)&lt;0),BE81+($BF81*(F81/$H81))+(-$BP81*(F81/$H81))+(BP81*(F81/$H81)),AND(A81&gt;=DA$4,B81&gt;=DB$4,$AQ81-SUM($AW81,$AY81:$AZ81)&lt;0),BE81+($BF81*(F81/$H81))+(-$BP81*(F81/$H81))+(BP81*(F81/$H81)),AND(B81&gt;=DB$4,F81&lt;BE81+$BF81-$BP81),F81,AND(B81&gt;=DB$4,$AP81-SUM($AW81,$AY81:$AZ81)&lt;0),BE81+($BF81*(F81/$H81))+(-$BP81*(F81/$H81))+(BP81*(F81/$H81)),B81&gt;=DB$4,BE81+$BF81-$BP81)</f>
        <v>0</v>
      </c>
      <c r="BJ81" s="64" cm="1">
        <f t="array" ref="BJ81">IF(AW81+BA81+BG81&gt;0, AW81+BA81+BG81-_xlfn.IFS(AND(A81&gt;=65,B81&gt;=65),VLOOKUP(Setup!I$4,Lookups!C$133:F$136,4),OR(A81&gt;=65,B81&gt;=65),VLOOKUP(Setup!I$4,Lookups!C$133:E$136,3),AND(A81&lt;65,B81&lt;65),VLOOKUP(Setup!I$4,Lookups!C$133:D$136,2)),0)</f>
        <v>0</v>
      </c>
      <c r="BK81" s="1" cm="1">
        <f t="array" ref="BK81">IF(BJ81&gt;0,_xlfn.IFS(Setup!I$4=Lookups!D$109,-_xlfn.IFS($BJ81&gt;=Lookups!D$157, Lookups!F$157+($BJ81-Lookups!D$157)*Lookups!G$157,$BJ81&gt;=Lookups!D$156, Lookups!F$156+($BJ81-Lookups!D$156)*Lookups!G$156,$BJ81&gt;=Lookups!D$155, Lookups!F$155+($BJ81-Lookups!D$155)*Lookups!G$155,$BJ81&gt;=Lookups!D$154, Lookups!F$154+($BJ81-Lookups!D$154)*Lookups!G$154,$BJ81&gt;=Lookups!D$153, Lookups!F$153+($BJ81-Lookups!D$153)*Lookups!G$153,$BJ81&gt;=Lookups!D$152, Lookups!F$152+($BJ81-Lookups!D$152)*Lookups!G$152,$BJ81&lt;Lookups!D$152,$BJ81*Lookups!G$151),Setup!I$4=Lookups!D$110,-_xlfn.IFS($BJ81&gt;=Lookups!D$167, Lookups!F$167+($BJ81-Lookups!D$167)*Lookups!G$167,$BJ81&gt;=Lookups!D$166, Lookups!F$166+($BJ81-Lookups!D$166)*Lookups!G$166,$BJ81&gt;=Lookups!D$165, Lookups!F$165+($BJ81-Lookups!D$165)*Lookups!G$165,$BJ81&gt;=Lookups!D$164, Lookups!F$164+($BJ81-Lookups!D$164)*Lookups!G$164,$BJ81&gt;=Lookups!D$163, Lookups!F$163+($BJ81-Lookups!D$163)*Lookups!G$163,$BJ81&gt;=Lookups!D$162, Lookups!F$162+($BJ81-Lookups!D$162)*Lookups!G$162,$BJ81&lt;Lookups!D$162,$BJ81*Lookups!G$161),Setup!I$4=Lookups!D$111,-_xlfn.IFS($BJ81&gt;=Lookups!D$177, Lookups!F$177+($BJ81-Lookups!D$177)*Lookups!G$177,$BJ81&gt;=Lookups!D$176, Lookups!F$176+($BJ81-Lookups!D$176)*Lookups!G$176,$BJ81&gt;=Lookups!D$175, Lookups!F$175+($BJ81-Lookups!D$175)*Lookups!G$175,$BJ81&gt;=Lookups!D$174, Lookups!F$174+($BJ81-Lookups!D$174)*Lookups!G$174,$BJ81&gt;=Lookups!D$173, Lookups!F$173+($BJ81-Lookups!D$173)*Lookups!G$173,$BJ81&gt;=Lookups!D$172, Lookups!F$172+($BJ81-Lookups!D$172)*Lookups!G$172,$BJ81&lt;Lookups!D$172,$BJ81*Lookups!G$171), Setup!I$4=Lookups!D$112,-_xlfn.IFS($BJ81&gt;=Lookups!D$187, Lookups!F$187+($BJ81-Lookups!D$187)*Lookups!G$187,$BJ81&gt;=Lookups!D$186, Lookups!F$186+($BJ81-Lookups!D$186)*Lookups!G$186,$BJ81&gt;=Lookups!D$185, Lookups!F$185+($BJ81-Lookups!D$185)*Lookups!G$185,$BJ81&gt;=Lookups!D$184, Lookups!F$184+($BJ81-Lookups!D$184)*Lookups!G$184,$BJ81&gt;=Lookups!D$183, Lookups!F$183+($BJ81-Lookups!D$183)*Lookups!G$183,$BJ81&gt;=Lookups!D$182, Lookups!F$182+($BJ81-Lookups!D$182)*Lookups!G$182,$BJ81&lt;Lookups!D$182,$BJ81*Lookups!G$181)),0)</f>
        <v>0</v>
      </c>
      <c r="BL81" s="18">
        <f t="shared" si="76"/>
        <v>0</v>
      </c>
      <c r="BM81" s="134">
        <f t="shared" si="67"/>
        <v>0</v>
      </c>
      <c r="BN81" s="134" cm="1">
        <f t="array" aca="1" ref="BN81" ca="1">INDIRECT(Setup!I$6&amp;"!"&amp;"A"&amp;ROW())</f>
        <v>0</v>
      </c>
      <c r="BO81" s="134">
        <f t="shared" si="84"/>
        <v>0</v>
      </c>
      <c r="BP81" s="1">
        <f t="shared" si="77"/>
        <v>0</v>
      </c>
      <c r="BQ81" s="1">
        <f t="shared" si="85"/>
        <v>0</v>
      </c>
      <c r="BS81" s="1">
        <f t="shared" si="86"/>
        <v>0</v>
      </c>
      <c r="BT81" s="1" cm="1">
        <f t="array" ref="BT81">-IF(BS81&gt;0,_xlfn.IFS((AW81+BA81+BG81+BS81)&gt;=VLOOKUP(Setup!I$4,Lookups!C$210:E$213,3),BS81*Lookups!D$203,(AW81+BA81+BG81+BS81)&gt;=VLOOKUP(Setup!I$4,Lookups!C$210:E$213,2),BS81*Lookups!D$197,(AW81+BA81+BG81+BS81)&lt;VLOOKUP(Setup!I$4,Lookups!C$210:E$213,2),0),0)</f>
        <v>0</v>
      </c>
      <c r="BU81" s="18">
        <f t="shared" si="87"/>
        <v>0</v>
      </c>
      <c r="BV81" s="1">
        <f t="shared" si="88"/>
        <v>0</v>
      </c>
      <c r="BW81" s="1" cm="1">
        <f t="array" aca="1" ref="BW81" ca="1">INDIRECT(Setup!I$6&amp;"!"&amp;"A"&amp;ROW()+100)</f>
        <v>0</v>
      </c>
      <c r="BX81" s="1">
        <f t="shared" ca="1" si="78"/>
        <v>0</v>
      </c>
      <c r="BY81" s="1">
        <f t="shared" ca="1" si="79"/>
        <v>0</v>
      </c>
      <c r="CA81" s="1">
        <f t="shared" si="91"/>
        <v>0</v>
      </c>
      <c r="CC81" s="1" cm="1">
        <f t="array" ref="CC81">_xlfn.IFS(AND(A81&lt;$DA$4,B81&lt;$DB$4),0,AND(AND(A81&gt;=$DA$4,B81&gt;=$DB$4),AND(A81&lt;=$DA$6,B81&lt;=$DB$6),AND(BH81=0,BI81=0)),SUM(AW81,AY81:AZ81,BD81:BF81,BP81,BS81,CA81)-AQ81,AND(AND(A81&gt;=$DA$4,B81&gt;=$DB$4),AND(A81&lt;=$DA$6,B81&lt;=$DB$6)),SUM(AW81,AY81:AZ81,BD81:BF81,BS81,CA81)-AQ81,AND(OR(A81&gt;=$DA$4,B81&gt;=$DB$4),AND(BH81=0,BI81=0)),SUM(AW81,AY81:AZ81,BD81:BF81,BP81,BS81,CA81)-AP81,OR(A81&gt;=$DA$4,B81&gt;=$DB$4),SUM(AW81,AY81:AZ81,BD81:BF81,BS81,CA81)-AP81)</f>
        <v>0</v>
      </c>
      <c r="CD81" s="142" t="str">
        <f t="shared" si="89"/>
        <v/>
      </c>
    </row>
    <row r="82" spans="1:82" x14ac:dyDescent="0.3">
      <c r="A82" s="354">
        <f t="shared" si="68"/>
        <v>75</v>
      </c>
      <c r="B82" s="354">
        <f t="shared" si="69"/>
        <v>75</v>
      </c>
      <c r="C82" s="359">
        <f t="shared" si="90"/>
        <v>27395</v>
      </c>
      <c r="D82" s="326" cm="1">
        <f t="array" ref="D82">_xlfn.IFS(AND(A82&gt;DA$6,B82&gt;DB$6),0,AND(A82&gt;DA$3,A82&lt;=DA$4),D81*(1+DH$1),OR(A82&gt;DA$6,A82&gt;DA$4),(D81-BH81)*(1+DH$2),A82&lt;=DA$4,(D81*(1+DH$1))+(D$4))</f>
        <v>0</v>
      </c>
      <c r="E82" s="375"/>
      <c r="F82" s="326" cm="1">
        <f t="array" ref="F82">_xlfn.IFS(AND(A82&gt;DA$6,B82&gt;DB$6),0,AND(B82&gt;DB$3,B82&lt;=DB$4),F81*(1+DH$1),OR(B82&gt;DB$6,B82&gt;DB$4),(F81-BI81)*(1+DH$2),B82&lt;=DB$4,(F81*(1+DH$1))+(F$4))</f>
        <v>0</v>
      </c>
      <c r="G82" s="375"/>
      <c r="H82" s="1">
        <f t="shared" si="93"/>
        <v>0</v>
      </c>
      <c r="I82" s="2">
        <f t="shared" si="70"/>
        <v>0</v>
      </c>
      <c r="J82" s="14">
        <f t="shared" si="94"/>
        <v>0</v>
      </c>
      <c r="L82" s="402" cm="1">
        <f t="array" ref="L82">_xlfn.IFS(AND(A82&gt;DA$6,B82&gt;DB$6),0,A82&lt;DA$6,0,A82=DA$6,L$4,AND(A82&gt;DA$6,B82&lt;=DB$4),L81*(1+DH$1),AND(A82&gt;DA$6,B82&gt;DB$4),IF(Y81=0,0,(L81-((L81/Y81)*BY81))*(1+DH$2)))</f>
        <v>0</v>
      </c>
      <c r="M82" s="402" cm="1">
        <f t="array" ref="M82">_xlfn.IFS(AND(A82&gt;DA$6,B82&gt;DB$6),0,B82&lt;DB$6,0,B82=DB$6,M$4,AND(B82&gt;DB$6,A82&lt;=DA$4),M81*(1+DH$1),AND(A82&gt;DA$4,B82&gt;DB$6),IF(Y81=0,0,(M81-((M81/Y81)*BY81))*(1+DH$2)))</f>
        <v>0</v>
      </c>
      <c r="N82" s="327"/>
      <c r="O82" s="327" cm="1">
        <f t="array" ref="O82">_xlfn.IFS(OR(ISBLANK(Setup!C$63),Setup!C$63&gt;YEAR(C82),AND(A82&gt;DA$6,B82&gt;DB$6),ISBLANK(Y81)),0,Setup!C$63=YEAR(C82),Setup!C$62,AND(OR(A82&lt;=DA$4,B82&lt;=DB$4),Setup!C$63&lt;YEAR(C82)),O81*(1+DH$1),AND(A82&gt;DA$4,B82&gt;DB$4,Setup!C$63&lt;YEAR(C82)),IF(Y81=0,0,(O81-((O81/Y81)*BY81))*(1+DH$2)))</f>
        <v>0</v>
      </c>
      <c r="P82" s="327" cm="1">
        <f t="array" ref="P82">_xlfn.IFS(OR(ISBLANK(Setup!C$67),Setup!C$67&gt;YEAR(C82),AND(A82&gt;DA$6,B82&gt;DB$6)),0,Setup!C$67=YEAR(C82),Setup!C$66,AND(OR(A82&lt;=DA$4,B82&lt;=DB$4),Setup!C$67&lt;YEAR(C82)),P81*(1+DH$1),AND(A82&gt;DA$4,B82&gt;DB$4,Setup!C$67&lt;YEAR(C82)),IF(Y81=0,0,(P81-((P81/Y81)*BY81))*(1+DH$2)))</f>
        <v>0</v>
      </c>
      <c r="Q82" s="327" cm="1">
        <f t="array" ref="Q82">_xlfn.IFS(OR(ISBLANK(Setup!C$71),Setup!C$71&gt;YEAR(C82),AND(A82&gt;DA$6,B82&gt;DB$6)),0,Setup!C$71=YEAR(C82),Setup!C$70,AND(OR(A82&lt;=DA$4,B82&lt;=DB$4),Setup!C$71&lt;YEAR(C82)),Q81*(1+DH$1),AND(A82&gt;DA$4,B82&gt;DB$4,Setup!C$71&lt;YEAR(C82)),IF(Y81=0,0,(Q81-((Q81/Y81)*BY81))*(1+DH$2)))</f>
        <v>0</v>
      </c>
      <c r="R82" s="327" cm="1">
        <f t="array" ref="R82">_xlfn.IFS(OR(ISBLANK(Setup!C$75),Setup!C$75&gt;YEAR(C82),AND(A82&gt;DA$6,B82&gt;DB$6)),0,Setup!C$75=YEAR(C82),Setup!C$74,AND(OR(A82&lt;=DA$4,B82&lt;=DB$4),Setup!C$75&lt;YEAR(C82)),R81*(1+DH$1),AND(A82&gt;DA$4,B82&gt;DB$4,Setup!C$75&lt;YEAR(C82)),IF(Y81=0,0,(R81-((R81/Y81)*BY81))*(1+DH$2)))</f>
        <v>0</v>
      </c>
      <c r="S82" s="327"/>
      <c r="T82" s="326" cm="1">
        <f t="array" ref="T82">_xlfn.IFS(AND($A82&gt;$DA$6,$B82&gt;$DB$6),0,AND($W$2=$DA$2,$A82&gt;$DA$4),IF($Y81=0,0,(T81-((T81/$Y81)*$BY81))*(1+$DH$2)),AND($W$2=$DB$2,$B82&gt;$DB$4),IF($Y81=0,0,(T81-((T81/$Y81)*$BY81))*(1+$DH$2)),AND($W$2=$DA$2,OR($A82&gt;$DA$3,$A82&gt;$DA$6)),(T81*(1+$DH$1)),AND($W$2=$DB$2,OR($B82&gt;$DB$3,$B82&gt;$DB$6)),(T81*(1+$DH$1)),AND($W$2=$DA$2,$A82&lt;=$DA$3,$A82&lt;=$DA$4,$A82&lt;=$DA$5),(T81*(1+$DH$1))+(T$4),AND($W$2=$DB$2,$B82&lt;=$DB$3,$B82&lt;=$DB$4,$B82&lt;=$DB$5),(T81*(1+$DH$1))+(T$4))</f>
        <v>0</v>
      </c>
      <c r="U82" s="326" cm="1">
        <f t="array" ref="U82">_xlfn.IFS(AND($A82&gt;$DA$6,$B82&gt;$DB$6),0,AND($W$2=$DA$2,$A82&gt;$DA$4),IF($Y81=0,0,(U81-((U81/$Y81)*$BY81))*(1+$DH$2)),AND($W$2=$DB$2,$B82&gt;$DB$4),IF($Y81=0,0,(U81-((U81/$Y81)*$BY81))*(1+$DH$2)),AND($W$2=$DA$2,OR($A82&gt;$DA$3,$A82&gt;$DA$6)),(U81*(1+$DH$1)),AND($W$2=$DB$2,OR($B82&gt;$DB$3,$B82&gt;$DB$6)),(U81*(1+$DH$1)),AND($W$2=$DA$2,$A82&lt;=$DA$3,$A82&lt;=$DA$4,$A82&lt;=$DA$5),(U81*(1+$DH$1))+(U$4),AND($W$2=$DB$2,$B82&lt;=$DB$3,$B82&lt;=$DB$4,$B82&lt;=$DB$5),(U81*(1+$DH$1))+(U$4))</f>
        <v>0</v>
      </c>
      <c r="V82" s="326" cm="1">
        <f t="array" ref="V82">_xlfn.IFS(AND($A82&gt;$DA$6,$B82&gt;$DB$6),0,AND($W$2=$DA$2,$A82&gt;$DA$4),IF($Y81=0,0,(V81-((V81/$Y81)*$BY81))*(1+$DH$2)),AND($W$2=$DB$2,$B82&gt;$DB$4),IF($Y81=0,0,(V81-((V81/$Y81)*$BY81))*(1+$DH$2)),AND($W$2=$DA$2,OR($A82&gt;$DA$3,$A82&gt;$DA$6)),(V81*(1+$DH$1)),AND($W$2=$DB$2,OR($B82&gt;$DB$3,$B82&gt;$DB$6)),(V81*(1+$DH$1)),AND($W$2=$DA$2,$A82&lt;=$DA$3,$A82&lt;=$DA$4,$A82&lt;=$DA$5),(V81*(1+$DH$1))+(V$4),AND($W$2=$DB$2,$B82&lt;=$DB$3,$B82&lt;=$DB$4,$B82&lt;=$DB$5),(V81*(1+$DH$1))+(V$4))</f>
        <v>0</v>
      </c>
      <c r="W82" s="326" cm="1">
        <f t="array" ref="W82">_xlfn.IFS(AND($A82&gt;$DA$6,$B82&gt;$DB$6),0,AND($W$2=$DA$2,$A82&gt;$DA$4),IF($Y81=0,0,(W81-((W81/$Y81)*$BY81))*(1+$DH$2)),AND($W$2=$DB$2,$B82&gt;$DB$4),IF($Y81=0,0,(W81-((W81/$Y81)*$BY81))*(1+$DH$2)),AND($W$2=$DA$2,OR($A82&gt;$DA$3,$A82&gt;$DA$6)),(W81*(1+$DH$1)),AND($W$2=$DB$2,OR($B82&gt;$DB$3,$B82&gt;$DB$6)),(W81*(1+$DH$1)),AND($W$2=$DA$2,$A82&lt;=$DA$3,$A82&lt;=$DA$4,$A82&lt;=$DA$5),(W81*(1+$DH$1))+(W$4),AND($W$2=$DB$2,$B82&lt;=$DB$3,$B82&lt;=$DB$4,$B82&lt;=$DB$5),(W81*(1+$DH$1))+(W$4))</f>
        <v>0</v>
      </c>
      <c r="Y82" s="1">
        <f t="shared" si="80"/>
        <v>0</v>
      </c>
      <c r="Z82" s="2">
        <f t="shared" si="71"/>
        <v>0</v>
      </c>
      <c r="AA82" s="375"/>
      <c r="AC82" s="326" cm="1">
        <f t="array" ref="AC82">_xlfn.IFS(AND(A82&gt;DA$6,B82&gt;DB$6),0,AND(A82&gt;DA$4,B82&gt;DB$4),IF(AG81=0,0,(AC81-((AC81/AG81)*CA81))*(1+DH$2)),OR(A82&gt;DA$3,A82&gt;DA$6),AC81*(1+DH$1),A82&gt;DA$4,(AC81-CA81)*(1+DH$2),AND(A82&lt;=DA$3,A82&lt;=DA$4,A82&lt;=DA$6),(AC81*(1+DH$1))+(AC$4))</f>
        <v>0</v>
      </c>
      <c r="AD82" s="375"/>
      <c r="AE82" s="326" cm="1">
        <f t="array" ref="AE82">_xlfn.IFS(AND(A82&gt;DA$6,B82&gt;DB$6),0,AND(A82&gt;DA$4,B82&gt;DB$4),IF(AG81=0,0,(AE81-((AE81/AG81)*CA81))*(1+DH$2)),OR(B82&gt;DB$3,B82&gt;DB$6),AE81*(1+DH$1),B82&gt;DB$4,(AE81-CA81)*(1+DH$2),AND(B82&lt;=DB$3,B82&lt;=DB$4,B82&lt;=DB$6),(AE81*(1+DH$1))+(AE$4))</f>
        <v>0</v>
      </c>
      <c r="AF82" s="375"/>
      <c r="AG82" s="1">
        <f t="shared" si="92"/>
        <v>0</v>
      </c>
      <c r="AH82" s="2">
        <f t="shared" si="81"/>
        <v>0</v>
      </c>
      <c r="AI82" s="14">
        <f t="shared" si="72"/>
        <v>0</v>
      </c>
      <c r="AK82" s="1">
        <f t="shared" si="82"/>
        <v>0</v>
      </c>
      <c r="AL82" s="14">
        <f t="shared" si="73"/>
        <v>0</v>
      </c>
      <c r="AM82" s="14" t="str">
        <f t="shared" si="83"/>
        <v/>
      </c>
      <c r="AO82" s="15">
        <f t="shared" si="74"/>
        <v>0</v>
      </c>
      <c r="AP82" s="1">
        <f>IF(AND(B82&gt;=$DB$6,A82&gt;=$DA$6),0,AP81*(1+Lookups!C$12))</f>
        <v>0</v>
      </c>
      <c r="AQ82" s="1">
        <f>IF(AND(B82&gt;=$DB$6,A82&gt;=$DA$6),0,AQ81*(1+Lookups!C$12))</f>
        <v>0</v>
      </c>
      <c r="AS82" s="1" cm="1">
        <f t="array" ref="AS82">_xlfn.IFS(OR(AS$6="",AND(A82&gt;=DA$6,B82&gt;=DB$6),AND(A82&lt;DA$4,B82&lt;DB$4)),0,AND(A82=DA$4,DA$4&lt;=DB$4),AS$6,AND(B82=DB$4,DA$4&gt;=DB$4),AS$6,OR(A82&gt;DA$4,B82&gt;DB$4),AS81*(1+Setup!C$103))</f>
        <v>0</v>
      </c>
      <c r="AT82" s="1" cm="1">
        <f t="array" ref="AT82">_xlfn.IFS(OR(AT$6="",AND(A82&gt;=DA$6,B82&gt;=DB$6),AND(A82&lt;DA$4,B82&lt;DB$4)),0,AND(A82=DA$4,DA$4&lt;=DB$4),AT$6,AND(B82=DB$4,DA$4&gt;=DB$4),AT$6,OR(A82&gt;DA$4,B82&gt;DB$4),AT81*(1+Setup!C$103))</f>
        <v>0</v>
      </c>
      <c r="AU82" s="1" cm="1">
        <f t="array" ref="AU82">_xlfn.IFS(OR(AU$6="",AND(A82&gt;=DA$6,B82&gt;=DB$6),AND(A82&lt;DA$4,B82&lt;DB$4)),0,AND(A82=DA$4,DA$4&lt;=DB$4),AU$6,AND(B82=DB$4,DA$4&gt;=DB$4),AU$6,OR(A82&gt;DA$4,B82&gt;DB$4),AU81*(1+Setup!C$103))</f>
        <v>0</v>
      </c>
      <c r="AV82" s="1" cm="1">
        <f t="array" ref="AV82">_xlfn.IFS(OR(AV$6="",AND(A82&gt;=DA$6,B82&gt;=DB$6),AND(A82&lt;DA$4,B82&lt;DB$4)),0,AND(A82=DA$4,DA$4&lt;=DB$4),AV$6,AND(B82=DB$4,DA$4&gt;=DB$4),AV$6,OR(A82&gt;DA$4,B82&gt;DB$4),AV81*(1+Setup!C$103))</f>
        <v>0</v>
      </c>
      <c r="AW82" s="1">
        <f t="shared" si="75"/>
        <v>0</v>
      </c>
      <c r="AY82" s="1" cm="1">
        <f t="array" ref="AY82">_xlfn.IFS(OR(AND(A82&gt;=DA$6,B82&gt;=DB$6),A82&lt;DA$5),0,AND(A82=DA$5,YEAR(C82)&gt;=Lookups!D$89),VLOOKUP(A82,Lookups!B$94:F$102,3),AND(A82=DA$5,YEAR(C82)&lt;Lookups!D$89),VLOOKUP(A82,Lookups!B$94:F$102,2),AND(A82&gt;DA$5,YEAR(C82)=Lookups!D$89),(AY81*Lookups!D$90)*(1+Lookups!C$20),AND(A82&gt;DA$5,YEAR(C82)&lt;&gt;Lookups!D$89),AY81*(1+Lookups!C$20))</f>
        <v>0</v>
      </c>
      <c r="AZ82" s="1" cm="1">
        <f t="array" ref="AZ82">_xlfn.IFS(OR(ISBLANK(Setup!K$91),Setup!K$91=0,AND(A82&gt;=DA$6,B82&gt;=DB$6),B82&lt;DB$5),0,AND(B82=DB$5,YEAR(C82)&gt;=Lookups!D$89),VLOOKUP(B82,Lookups!B$94:F$102,5),AND(B82=DB$5,YEAR(C82)&lt;Lookups!D$89),VLOOKUP(B82,Lookups!B$94:F$102,4),AND(B82&gt;DB$5,YEAR(C82)=Lookups!D$89),(AZ81*Lookups!D$90)*(1+Lookups!C$20),AND(B82&gt;DB$5,YEAR(C82)&lt;&gt;Lookups!D$89),AZ81*(1+Lookups!C$20))</f>
        <v>0</v>
      </c>
      <c r="BA82" s="65">
        <f>IF(OR(AY82&gt;0,AZ82&gt;0),(AY82+AZ82)*Lookups!D$120,0)</f>
        <v>0</v>
      </c>
      <c r="BB82" s="1" cm="1">
        <f t="array" ref="BB82">_xlfn.IFS(AND(A82&lt;DA$4,B82&lt;DB$4),0,OR(_xlfn.XOR(A82&gt;DA$6,B82&gt;DB$6),_xlfn.XOR(A82&gt;=DA$4,B82&gt;=DB$4)),IF(AP82-SUM(AW82,AY82:AZ82)&gt;0,AP82-SUM(AW82,AY82:AZ82),0),AQ82-SUM(AW82,AY82:AZ82)&gt;0, AQ82-SUM(AW82,AY82:AZ82),AQ82-SUM(AW82,AY82:AZ82)&lt;=0,0)</f>
        <v>0</v>
      </c>
      <c r="BD82" s="1" cm="1">
        <f t="array" ref="BD82">_xlfn.IFS(AND(A82&gt;=DA$6,B82&gt;=DB$6),0,AND(A82&gt;=DA$6,B82&gt;=Lookups!C$35),D82/VLOOKUP(B82,Lookups!C$37:D$67,2),A82&lt;Lookups!$C$35,0,A82&gt;=Lookups!C$35,D82/VLOOKUP(A82,Lookups!C$37:D$67,2))</f>
        <v>0</v>
      </c>
      <c r="BE82" s="1" cm="1">
        <f t="array" ref="BE82">_xlfn.IFS(AND(A82&gt;=DA$6,B82&gt;=DB$6),0,AND(B82&gt;=DB$6,A82&gt;=Lookups!C$35),F82/VLOOKUP(A82,Lookups!C$37:D$67,2),B82&lt;Lookups!$C$35,0,B82&gt;=Lookups!C$35,F82/VLOOKUP(B82,Lookups!C$37:D$67,2))</f>
        <v>0</v>
      </c>
      <c r="BF82" s="1" cm="1">
        <f t="array" ref="BF82">_xlfn.IFS($BB82&lt;=0,0,AND(A82&gt;=DA$4,B82&gt;=DB$4,$BB82*I82&lt;(BD82+BE82)),0,AND(A82&gt;=DA$4,B82&gt;=DB$4,H82&gt;=(BB82*I82)-BD82-BE82),(BB82*I82)-BD82-BE82,AND(A82&gt;=DA$4,B82&gt;=DB$4,H82&lt;(BB82*I82)-BD82-BE82),H82,AND(A82&gt;=DA$4,$BB82*I82&lt;(BD82)),0,AND(A82&gt;=DA$4,H82&gt;=(BB82*I82)-BD82),(BB82*I82)-BD82,AND(A82&gt;=DA$4,H82&lt;(BB82*I82)-BD82),H82,AND(B82&gt;=DB$4,$BB82*I82&lt;(BE82)),0,AND(B82&gt;=DB$4,H82&gt;=(BB82*I82)-BE82),(BB82*I82)-BE82,AND(B82&gt;=DB$4,H82&lt;(BB82*I82)-BE82),H82)</f>
        <v>0</v>
      </c>
      <c r="BG82" s="1">
        <f t="shared" si="66"/>
        <v>0</v>
      </c>
      <c r="BH82" s="1" cm="1">
        <f t="array" ref="BH82">_xlfn.IFS(OR(D82=0,A82&lt;DA$4),0,AND(A82&gt;=DA$4,B82&gt;=DB$4,D82&lt;BD82+($BF82*(D82/$H82))+(-$BP82*(D82/$H82))),D82,AND(A82&gt;=DA$4,B82&gt;=DB$4,$BB82&gt;$BG82),BD82+($BF82*(D82/$H82))+(-$BP82*(D82/$H82)),AND(A82&gt;=DA$4,B82&gt;=DB$4,OR(A82&gt;DA$6, B82&gt;DB$6),$AP82-SUM($AW82,$AY82:$AZ82)&lt;0),BD82+($BF82*(D82/$H82))+(-$BP82*(D82/$H82))+(BP82*(D82/$H82)),AND(A82&gt;=DA$4,B82&gt;=DB$4,$AQ82-SUM($AW82,$AY82:$AZ82)&lt;0),BD82+($BF82*(D82/$H82))+(-$BP82*(D82/$H82))+(BP82*(D82/$H82)),AND(A82&gt;=DA$4,D82&lt;BD82+$BF82-$BP82),D82,AND(A82&gt;=DA$4,$AP82-SUM($AW82,$AY82:$AZ82)&lt;0),BD82+($BF82*(D82/$H82))+(-$BP82*(D82/$H82))+(BP82*(D82/$H82)),A82&gt;=DA$4,BD82+$BF82-$BP82)</f>
        <v>0</v>
      </c>
      <c r="BI82" s="1" cm="1">
        <f t="array" ref="BI82">_xlfn.IFS(OR(F82=0,B82&lt;DB$4),0,AND(A82&gt;=DA$4,B82&gt;=DB$4,F82&lt;BE82+($BF82*(F82/$H82))+(-$BP82*(F82/$H82))),F82,AND(A82&gt;=DA$4,B82&gt;=DB$4,$BB82&gt;$BG82),BE82+($BF82*(F82/$H82))+(-$BP82*(F82/$H82)),AND(A82&gt;=DA$4,B82&gt;=DB$4,OR(A82&gt;DA$6, B82&gt;DB$6),$AP82-SUM($AW82,$AY82:$AZ82)&lt;0),BE82+($BF82*(F82/$H82))+(-$BP82*(F82/$H82))+(BP82*(F82/$H82)),AND(A82&gt;=DA$4,B82&gt;=DB$4,$AQ82-SUM($AW82,$AY82:$AZ82)&lt;0),BE82+($BF82*(F82/$H82))+(-$BP82*(F82/$H82))+(BP82*(F82/$H82)),AND(B82&gt;=DB$4,F82&lt;BE82+$BF82-$BP82),F82,AND(B82&gt;=DB$4,$AP82-SUM($AW82,$AY82:$AZ82)&lt;0),BE82+($BF82*(F82/$H82))+(-$BP82*(F82/$H82))+(BP82*(F82/$H82)),B82&gt;=DB$4,BE82+$BF82-$BP82)</f>
        <v>0</v>
      </c>
      <c r="BJ82" s="64" cm="1">
        <f t="array" ref="BJ82">IF(AW82+BA82+BG82&gt;0, AW82+BA82+BG82-_xlfn.IFS(AND(A82&gt;=65,B82&gt;=65),VLOOKUP(Setup!I$4,Lookups!C$133:F$136,4),OR(A82&gt;=65,B82&gt;=65),VLOOKUP(Setup!I$4,Lookups!C$133:E$136,3),AND(A82&lt;65,B82&lt;65),VLOOKUP(Setup!I$4,Lookups!C$133:D$136,2)),0)</f>
        <v>0</v>
      </c>
      <c r="BK82" s="1" cm="1">
        <f t="array" ref="BK82">IF(BJ82&gt;0,_xlfn.IFS(Setup!I$4=Lookups!D$109,-_xlfn.IFS($BJ82&gt;=Lookups!D$157, Lookups!F$157+($BJ82-Lookups!D$157)*Lookups!G$157,$BJ82&gt;=Lookups!D$156, Lookups!F$156+($BJ82-Lookups!D$156)*Lookups!G$156,$BJ82&gt;=Lookups!D$155, Lookups!F$155+($BJ82-Lookups!D$155)*Lookups!G$155,$BJ82&gt;=Lookups!D$154, Lookups!F$154+($BJ82-Lookups!D$154)*Lookups!G$154,$BJ82&gt;=Lookups!D$153, Lookups!F$153+($BJ82-Lookups!D$153)*Lookups!G$153,$BJ82&gt;=Lookups!D$152, Lookups!F$152+($BJ82-Lookups!D$152)*Lookups!G$152,$BJ82&lt;Lookups!D$152,$BJ82*Lookups!G$151),Setup!I$4=Lookups!D$110,-_xlfn.IFS($BJ82&gt;=Lookups!D$167, Lookups!F$167+($BJ82-Lookups!D$167)*Lookups!G$167,$BJ82&gt;=Lookups!D$166, Lookups!F$166+($BJ82-Lookups!D$166)*Lookups!G$166,$BJ82&gt;=Lookups!D$165, Lookups!F$165+($BJ82-Lookups!D$165)*Lookups!G$165,$BJ82&gt;=Lookups!D$164, Lookups!F$164+($BJ82-Lookups!D$164)*Lookups!G$164,$BJ82&gt;=Lookups!D$163, Lookups!F$163+($BJ82-Lookups!D$163)*Lookups!G$163,$BJ82&gt;=Lookups!D$162, Lookups!F$162+($BJ82-Lookups!D$162)*Lookups!G$162,$BJ82&lt;Lookups!D$162,$BJ82*Lookups!G$161),Setup!I$4=Lookups!D$111,-_xlfn.IFS($BJ82&gt;=Lookups!D$177, Lookups!F$177+($BJ82-Lookups!D$177)*Lookups!G$177,$BJ82&gt;=Lookups!D$176, Lookups!F$176+($BJ82-Lookups!D$176)*Lookups!G$176,$BJ82&gt;=Lookups!D$175, Lookups!F$175+($BJ82-Lookups!D$175)*Lookups!G$175,$BJ82&gt;=Lookups!D$174, Lookups!F$174+($BJ82-Lookups!D$174)*Lookups!G$174,$BJ82&gt;=Lookups!D$173, Lookups!F$173+($BJ82-Lookups!D$173)*Lookups!G$173,$BJ82&gt;=Lookups!D$172, Lookups!F$172+($BJ82-Lookups!D$172)*Lookups!G$172,$BJ82&lt;Lookups!D$172,$BJ82*Lookups!G$171), Setup!I$4=Lookups!D$112,-_xlfn.IFS($BJ82&gt;=Lookups!D$187, Lookups!F$187+($BJ82-Lookups!D$187)*Lookups!G$187,$BJ82&gt;=Lookups!D$186, Lookups!F$186+($BJ82-Lookups!D$186)*Lookups!G$186,$BJ82&gt;=Lookups!D$185, Lookups!F$185+($BJ82-Lookups!D$185)*Lookups!G$185,$BJ82&gt;=Lookups!D$184, Lookups!F$184+($BJ82-Lookups!D$184)*Lookups!G$184,$BJ82&gt;=Lookups!D$183, Lookups!F$183+($BJ82-Lookups!D$183)*Lookups!G$183,$BJ82&gt;=Lookups!D$182, Lookups!F$182+($BJ82-Lookups!D$182)*Lookups!G$182,$BJ82&lt;Lookups!D$182,$BJ82*Lookups!G$181)),0)</f>
        <v>0</v>
      </c>
      <c r="BL82" s="18">
        <f t="shared" si="76"/>
        <v>0</v>
      </c>
      <c r="BM82" s="134">
        <f t="shared" si="67"/>
        <v>0</v>
      </c>
      <c r="BN82" s="134" cm="1">
        <f t="array" aca="1" ref="BN82" ca="1">INDIRECT(Setup!I$6&amp;"!"&amp;"A"&amp;ROW())</f>
        <v>0</v>
      </c>
      <c r="BO82" s="134">
        <f t="shared" si="84"/>
        <v>0</v>
      </c>
      <c r="BP82" s="1">
        <f t="shared" si="77"/>
        <v>0</v>
      </c>
      <c r="BQ82" s="1">
        <f t="shared" si="85"/>
        <v>0</v>
      </c>
      <c r="BS82" s="1">
        <f t="shared" si="86"/>
        <v>0</v>
      </c>
      <c r="BT82" s="1" cm="1">
        <f t="array" ref="BT82">-IF(BS82&gt;0,_xlfn.IFS((AW82+BA82+BG82+BS82)&gt;=VLOOKUP(Setup!I$4,Lookups!C$210:E$213,3),BS82*Lookups!D$203,(AW82+BA82+BG82+BS82)&gt;=VLOOKUP(Setup!I$4,Lookups!C$210:E$213,2),BS82*Lookups!D$197,(AW82+BA82+BG82+BS82)&lt;VLOOKUP(Setup!I$4,Lookups!C$210:E$213,2),0),0)</f>
        <v>0</v>
      </c>
      <c r="BU82" s="18">
        <f t="shared" si="87"/>
        <v>0</v>
      </c>
      <c r="BV82" s="1">
        <f t="shared" si="88"/>
        <v>0</v>
      </c>
      <c r="BW82" s="1" cm="1">
        <f t="array" aca="1" ref="BW82" ca="1">INDIRECT(Setup!I$6&amp;"!"&amp;"A"&amp;ROW()+100)</f>
        <v>0</v>
      </c>
      <c r="BX82" s="1">
        <f t="shared" ca="1" si="78"/>
        <v>0</v>
      </c>
      <c r="BY82" s="1">
        <f t="shared" ca="1" si="79"/>
        <v>0</v>
      </c>
      <c r="CA82" s="1">
        <f t="shared" si="91"/>
        <v>0</v>
      </c>
      <c r="CC82" s="1" cm="1">
        <f t="array" ref="CC82">_xlfn.IFS(AND(A82&lt;$DA$4,B82&lt;$DB$4),0,AND(AND(A82&gt;=$DA$4,B82&gt;=$DB$4),AND(A82&lt;=$DA$6,B82&lt;=$DB$6),AND(BH82=0,BI82=0)),SUM(AW82,AY82:AZ82,BD82:BF82,BP82,BS82,CA82)-AQ82,AND(AND(A82&gt;=$DA$4,B82&gt;=$DB$4),AND(A82&lt;=$DA$6,B82&lt;=$DB$6)),SUM(AW82,AY82:AZ82,BD82:BF82,BS82,CA82)-AQ82,AND(OR(A82&gt;=$DA$4,B82&gt;=$DB$4),AND(BH82=0,BI82=0)),SUM(AW82,AY82:AZ82,BD82:BF82,BP82,BS82,CA82)-AP82,OR(A82&gt;=$DA$4,B82&gt;=$DB$4),SUM(AW82,AY82:AZ82,BD82:BF82,BS82,CA82)-AP82)</f>
        <v>0</v>
      </c>
      <c r="CD82" s="142" t="str">
        <f t="shared" si="89"/>
        <v/>
      </c>
    </row>
    <row r="83" spans="1:82" x14ac:dyDescent="0.3">
      <c r="A83" s="354">
        <f t="shared" si="68"/>
        <v>76</v>
      </c>
      <c r="B83" s="354">
        <f t="shared" si="69"/>
        <v>76</v>
      </c>
      <c r="C83" s="359">
        <f t="shared" si="90"/>
        <v>27760</v>
      </c>
      <c r="D83" s="326" cm="1">
        <f t="array" ref="D83">_xlfn.IFS(AND(A83&gt;DA$6,B83&gt;DB$6),0,AND(A83&gt;DA$3,A83&lt;=DA$4),D82*(1+DH$1),OR(A83&gt;DA$6,A83&gt;DA$4),(D82-BH82)*(1+DH$2),A83&lt;=DA$4,(D82*(1+DH$1))+(D$4))</f>
        <v>0</v>
      </c>
      <c r="E83" s="375"/>
      <c r="F83" s="326" cm="1">
        <f t="array" ref="F83">_xlfn.IFS(AND(A83&gt;DA$6,B83&gt;DB$6),0,AND(B83&gt;DB$3,B83&lt;=DB$4),F82*(1+DH$1),OR(B83&gt;DB$6,B83&gt;DB$4),(F82-BI82)*(1+DH$2),B83&lt;=DB$4,(F82*(1+DH$1))+(F$4))</f>
        <v>0</v>
      </c>
      <c r="G83" s="375"/>
      <c r="H83" s="1">
        <f t="shared" si="93"/>
        <v>0</v>
      </c>
      <c r="I83" s="2">
        <f t="shared" si="70"/>
        <v>0</v>
      </c>
      <c r="J83" s="14">
        <f t="shared" si="94"/>
        <v>0</v>
      </c>
      <c r="L83" s="402" cm="1">
        <f t="array" ref="L83">_xlfn.IFS(AND(A83&gt;DA$6,B83&gt;DB$6),0,A83&lt;DA$6,0,A83=DA$6,L$4,AND(A83&gt;DA$6,B83&lt;=DB$4),L82*(1+DH$1),AND(A83&gt;DA$6,B83&gt;DB$4),IF(Y82=0,0,(L82-((L82/Y82)*BY82))*(1+DH$2)))</f>
        <v>0</v>
      </c>
      <c r="M83" s="402" cm="1">
        <f t="array" ref="M83">_xlfn.IFS(AND(A83&gt;DA$6,B83&gt;DB$6),0,B83&lt;DB$6,0,B83=DB$6,M$4,AND(B83&gt;DB$6,A83&lt;=DA$4),M82*(1+DH$1),AND(A83&gt;DA$4,B83&gt;DB$6),IF(Y82=0,0,(M82-((M82/Y82)*BY82))*(1+DH$2)))</f>
        <v>0</v>
      </c>
      <c r="N83" s="327"/>
      <c r="O83" s="327" cm="1">
        <f t="array" ref="O83">_xlfn.IFS(OR(ISBLANK(Setup!C$63),Setup!C$63&gt;YEAR(C83),AND(A83&gt;DA$6,B83&gt;DB$6),ISBLANK(Y82)),0,Setup!C$63=YEAR(C83),Setup!C$62,AND(OR(A83&lt;=DA$4,B83&lt;=DB$4),Setup!C$63&lt;YEAR(C83)),O82*(1+DH$1),AND(A83&gt;DA$4,B83&gt;DB$4,Setup!C$63&lt;YEAR(C83)),IF(Y82=0,0,(O82-((O82/Y82)*BY82))*(1+DH$2)))</f>
        <v>0</v>
      </c>
      <c r="P83" s="327" cm="1">
        <f t="array" ref="P83">_xlfn.IFS(OR(ISBLANK(Setup!C$67),Setup!C$67&gt;YEAR(C83),AND(A83&gt;DA$6,B83&gt;DB$6)),0,Setup!C$67=YEAR(C83),Setup!C$66,AND(OR(A83&lt;=DA$4,B83&lt;=DB$4),Setup!C$67&lt;YEAR(C83)),P82*(1+DH$1),AND(A83&gt;DA$4,B83&gt;DB$4,Setup!C$67&lt;YEAR(C83)),IF(Y82=0,0,(P82-((P82/Y82)*BY82))*(1+DH$2)))</f>
        <v>0</v>
      </c>
      <c r="Q83" s="327" cm="1">
        <f t="array" ref="Q83">_xlfn.IFS(OR(ISBLANK(Setup!C$71),Setup!C$71&gt;YEAR(C83),AND(A83&gt;DA$6,B83&gt;DB$6)),0,Setup!C$71=YEAR(C83),Setup!C$70,AND(OR(A83&lt;=DA$4,B83&lt;=DB$4),Setup!C$71&lt;YEAR(C83)),Q82*(1+DH$1),AND(A83&gt;DA$4,B83&gt;DB$4,Setup!C$71&lt;YEAR(C83)),IF(Y82=0,0,(Q82-((Q82/Y82)*BY82))*(1+DH$2)))</f>
        <v>0</v>
      </c>
      <c r="R83" s="327" cm="1">
        <f t="array" ref="R83">_xlfn.IFS(OR(ISBLANK(Setup!C$75),Setup!C$75&gt;YEAR(C83),AND(A83&gt;DA$6,B83&gt;DB$6)),0,Setup!C$75=YEAR(C83),Setup!C$74,AND(OR(A83&lt;=DA$4,B83&lt;=DB$4),Setup!C$75&lt;YEAR(C83)),R82*(1+DH$1),AND(A83&gt;DA$4,B83&gt;DB$4,Setup!C$75&lt;YEAR(C83)),IF(Y82=0,0,(R82-((R82/Y82)*BY82))*(1+DH$2)))</f>
        <v>0</v>
      </c>
      <c r="S83" s="327"/>
      <c r="T83" s="326" cm="1">
        <f t="array" ref="T83">_xlfn.IFS(AND($A83&gt;$DA$6,$B83&gt;$DB$6),0,AND($W$2=$DA$2,$A83&gt;$DA$4),IF($Y82=0,0,(T82-((T82/$Y82)*$BY82))*(1+$DH$2)),AND($W$2=$DB$2,$B83&gt;$DB$4),IF($Y82=0,0,(T82-((T82/$Y82)*$BY82))*(1+$DH$2)),AND($W$2=$DA$2,OR($A83&gt;$DA$3,$A83&gt;$DA$6)),(T82*(1+$DH$1)),AND($W$2=$DB$2,OR($B83&gt;$DB$3,$B83&gt;$DB$6)),(T82*(1+$DH$1)),AND($W$2=$DA$2,$A83&lt;=$DA$3,$A83&lt;=$DA$4,$A83&lt;=$DA$5),(T82*(1+$DH$1))+(T$4),AND($W$2=$DB$2,$B83&lt;=$DB$3,$B83&lt;=$DB$4,$B83&lt;=$DB$5),(T82*(1+$DH$1))+(T$4))</f>
        <v>0</v>
      </c>
      <c r="U83" s="326" cm="1">
        <f t="array" ref="U83">_xlfn.IFS(AND($A83&gt;$DA$6,$B83&gt;$DB$6),0,AND($W$2=$DA$2,$A83&gt;$DA$4),IF($Y82=0,0,(U82-((U82/$Y82)*$BY82))*(1+$DH$2)),AND($W$2=$DB$2,$B83&gt;$DB$4),IF($Y82=0,0,(U82-((U82/$Y82)*$BY82))*(1+$DH$2)),AND($W$2=$DA$2,OR($A83&gt;$DA$3,$A83&gt;$DA$6)),(U82*(1+$DH$1)),AND($W$2=$DB$2,OR($B83&gt;$DB$3,$B83&gt;$DB$6)),(U82*(1+$DH$1)),AND($W$2=$DA$2,$A83&lt;=$DA$3,$A83&lt;=$DA$4,$A83&lt;=$DA$5),(U82*(1+$DH$1))+(U$4),AND($W$2=$DB$2,$B83&lt;=$DB$3,$B83&lt;=$DB$4,$B83&lt;=$DB$5),(U82*(1+$DH$1))+(U$4))</f>
        <v>0</v>
      </c>
      <c r="V83" s="326" cm="1">
        <f t="array" ref="V83">_xlfn.IFS(AND($A83&gt;$DA$6,$B83&gt;$DB$6),0,AND($W$2=$DA$2,$A83&gt;$DA$4),IF($Y82=0,0,(V82-((V82/$Y82)*$BY82))*(1+$DH$2)),AND($W$2=$DB$2,$B83&gt;$DB$4),IF($Y82=0,0,(V82-((V82/$Y82)*$BY82))*(1+$DH$2)),AND($W$2=$DA$2,OR($A83&gt;$DA$3,$A83&gt;$DA$6)),(V82*(1+$DH$1)),AND($W$2=$DB$2,OR($B83&gt;$DB$3,$B83&gt;$DB$6)),(V82*(1+$DH$1)),AND($W$2=$DA$2,$A83&lt;=$DA$3,$A83&lt;=$DA$4,$A83&lt;=$DA$5),(V82*(1+$DH$1))+(V$4),AND($W$2=$DB$2,$B83&lt;=$DB$3,$B83&lt;=$DB$4,$B83&lt;=$DB$5),(V82*(1+$DH$1))+(V$4))</f>
        <v>0</v>
      </c>
      <c r="W83" s="326" cm="1">
        <f t="array" ref="W83">_xlfn.IFS(AND($A83&gt;$DA$6,$B83&gt;$DB$6),0,AND($W$2=$DA$2,$A83&gt;$DA$4),IF($Y82=0,0,(W82-((W82/$Y82)*$BY82))*(1+$DH$2)),AND($W$2=$DB$2,$B83&gt;$DB$4),IF($Y82=0,0,(W82-((W82/$Y82)*$BY82))*(1+$DH$2)),AND($W$2=$DA$2,OR($A83&gt;$DA$3,$A83&gt;$DA$6)),(W82*(1+$DH$1)),AND($W$2=$DB$2,OR($B83&gt;$DB$3,$B83&gt;$DB$6)),(W82*(1+$DH$1)),AND($W$2=$DA$2,$A83&lt;=$DA$3,$A83&lt;=$DA$4,$A83&lt;=$DA$5),(W82*(1+$DH$1))+(W$4),AND($W$2=$DB$2,$B83&lt;=$DB$3,$B83&lt;=$DB$4,$B83&lt;=$DB$5),(W82*(1+$DH$1))+(W$4))</f>
        <v>0</v>
      </c>
      <c r="Y83" s="1">
        <f t="shared" si="80"/>
        <v>0</v>
      </c>
      <c r="Z83" s="2">
        <f t="shared" si="71"/>
        <v>0</v>
      </c>
      <c r="AA83" s="375"/>
      <c r="AC83" s="326" cm="1">
        <f t="array" ref="AC83">_xlfn.IFS(AND(A83&gt;DA$6,B83&gt;DB$6),0,AND(A83&gt;DA$4,B83&gt;DB$4),IF(AG82=0,0,(AC82-((AC82/AG82)*CA82))*(1+DH$2)),OR(A83&gt;DA$3,A83&gt;DA$6),AC82*(1+DH$1),A83&gt;DA$4,(AC82-CA82)*(1+DH$2),AND(A83&lt;=DA$3,A83&lt;=DA$4,A83&lt;=DA$6),(AC82*(1+DH$1))+(AC$4))</f>
        <v>0</v>
      </c>
      <c r="AD83" s="375"/>
      <c r="AE83" s="326" cm="1">
        <f t="array" ref="AE83">_xlfn.IFS(AND(A83&gt;DA$6,B83&gt;DB$6),0,AND(A83&gt;DA$4,B83&gt;DB$4),IF(AG82=0,0,(AE82-((AE82/AG82)*CA82))*(1+DH$2)),OR(B83&gt;DB$3,B83&gt;DB$6),AE82*(1+DH$1),B83&gt;DB$4,(AE82-CA82)*(1+DH$2),AND(B83&lt;=DB$3,B83&lt;=DB$4,B83&lt;=DB$6),(AE82*(1+DH$1))+(AE$4))</f>
        <v>0</v>
      </c>
      <c r="AF83" s="375"/>
      <c r="AG83" s="1">
        <f t="shared" si="92"/>
        <v>0</v>
      </c>
      <c r="AH83" s="2">
        <f t="shared" si="81"/>
        <v>0</v>
      </c>
      <c r="AI83" s="14">
        <f t="shared" si="72"/>
        <v>0</v>
      </c>
      <c r="AK83" s="1">
        <f t="shared" si="82"/>
        <v>0</v>
      </c>
      <c r="AL83" s="14">
        <f t="shared" si="73"/>
        <v>0</v>
      </c>
      <c r="AM83" s="14" t="str">
        <f t="shared" si="83"/>
        <v/>
      </c>
      <c r="AO83" s="15">
        <f t="shared" si="74"/>
        <v>0</v>
      </c>
      <c r="AP83" s="1">
        <f>IF(AND(B83&gt;=$DB$6,A83&gt;=$DA$6),0,AP82*(1+Lookups!C$12))</f>
        <v>0</v>
      </c>
      <c r="AQ83" s="1">
        <f>IF(AND(B83&gt;=$DB$6,A83&gt;=$DA$6),0,AQ82*(1+Lookups!C$12))</f>
        <v>0</v>
      </c>
      <c r="AS83" s="1" cm="1">
        <f t="array" ref="AS83">_xlfn.IFS(OR(AS$6="",AND(A83&gt;=DA$6,B83&gt;=DB$6),AND(A83&lt;DA$4,B83&lt;DB$4)),0,AND(A83=DA$4,DA$4&lt;=DB$4),AS$6,AND(B83=DB$4,DA$4&gt;=DB$4),AS$6,OR(A83&gt;DA$4,B83&gt;DB$4),AS82*(1+Setup!C$103))</f>
        <v>0</v>
      </c>
      <c r="AT83" s="1" cm="1">
        <f t="array" ref="AT83">_xlfn.IFS(OR(AT$6="",AND(A83&gt;=DA$6,B83&gt;=DB$6),AND(A83&lt;DA$4,B83&lt;DB$4)),0,AND(A83=DA$4,DA$4&lt;=DB$4),AT$6,AND(B83=DB$4,DA$4&gt;=DB$4),AT$6,OR(A83&gt;DA$4,B83&gt;DB$4),AT82*(1+Setup!C$103))</f>
        <v>0</v>
      </c>
      <c r="AU83" s="1" cm="1">
        <f t="array" ref="AU83">_xlfn.IFS(OR(AU$6="",AND(A83&gt;=DA$6,B83&gt;=DB$6),AND(A83&lt;DA$4,B83&lt;DB$4)),0,AND(A83=DA$4,DA$4&lt;=DB$4),AU$6,AND(B83=DB$4,DA$4&gt;=DB$4),AU$6,OR(A83&gt;DA$4,B83&gt;DB$4),AU82*(1+Setup!C$103))</f>
        <v>0</v>
      </c>
      <c r="AV83" s="1" cm="1">
        <f t="array" ref="AV83">_xlfn.IFS(OR(AV$6="",AND(A83&gt;=DA$6,B83&gt;=DB$6),AND(A83&lt;DA$4,B83&lt;DB$4)),0,AND(A83=DA$4,DA$4&lt;=DB$4),AV$6,AND(B83=DB$4,DA$4&gt;=DB$4),AV$6,OR(A83&gt;DA$4,B83&gt;DB$4),AV82*(1+Setup!C$103))</f>
        <v>0</v>
      </c>
      <c r="AW83" s="1">
        <f t="shared" si="75"/>
        <v>0</v>
      </c>
      <c r="AY83" s="1" cm="1">
        <f t="array" ref="AY83">_xlfn.IFS(OR(AND(A83&gt;=DA$6,B83&gt;=DB$6),A83&lt;DA$5),0,AND(A83=DA$5,YEAR(C83)&gt;=Lookups!D$89),VLOOKUP(A83,Lookups!B$94:F$102,3),AND(A83=DA$5,YEAR(C83)&lt;Lookups!D$89),VLOOKUP(A83,Lookups!B$94:F$102,2),AND(A83&gt;DA$5,YEAR(C83)=Lookups!D$89),(AY82*Lookups!D$90)*(1+Lookups!C$20),AND(A83&gt;DA$5,YEAR(C83)&lt;&gt;Lookups!D$89),AY82*(1+Lookups!C$20))</f>
        <v>0</v>
      </c>
      <c r="AZ83" s="1" cm="1">
        <f t="array" ref="AZ83">_xlfn.IFS(OR(ISBLANK(Setup!K$91),Setup!K$91=0,AND(A83&gt;=DA$6,B83&gt;=DB$6),B83&lt;DB$5),0,AND(B83=DB$5,YEAR(C83)&gt;=Lookups!D$89),VLOOKUP(B83,Lookups!B$94:F$102,5),AND(B83=DB$5,YEAR(C83)&lt;Lookups!D$89),VLOOKUP(B83,Lookups!B$94:F$102,4),AND(B83&gt;DB$5,YEAR(C83)=Lookups!D$89),(AZ82*Lookups!D$90)*(1+Lookups!C$20),AND(B83&gt;DB$5,YEAR(C83)&lt;&gt;Lookups!D$89),AZ82*(1+Lookups!C$20))</f>
        <v>0</v>
      </c>
      <c r="BA83" s="65">
        <f>IF(OR(AY83&gt;0,AZ83&gt;0),(AY83+AZ83)*Lookups!D$120,0)</f>
        <v>0</v>
      </c>
      <c r="BB83" s="1" cm="1">
        <f t="array" ref="BB83">_xlfn.IFS(AND(A83&lt;DA$4,B83&lt;DB$4),0,OR(_xlfn.XOR(A83&gt;DA$6,B83&gt;DB$6),_xlfn.XOR(A83&gt;=DA$4,B83&gt;=DB$4)),IF(AP83-SUM(AW83,AY83:AZ83)&gt;0,AP83-SUM(AW83,AY83:AZ83),0),AQ83-SUM(AW83,AY83:AZ83)&gt;0, AQ83-SUM(AW83,AY83:AZ83),AQ83-SUM(AW83,AY83:AZ83)&lt;=0,0)</f>
        <v>0</v>
      </c>
      <c r="BD83" s="1" cm="1">
        <f t="array" ref="BD83">_xlfn.IFS(AND(A83&gt;=DA$6,B83&gt;=DB$6),0,AND(A83&gt;=DA$6,B83&gt;=Lookups!C$35),D83/VLOOKUP(B83,Lookups!C$37:D$67,2),A83&lt;Lookups!$C$35,0,A83&gt;=Lookups!C$35,D83/VLOOKUP(A83,Lookups!C$37:D$67,2))</f>
        <v>0</v>
      </c>
      <c r="BE83" s="1" cm="1">
        <f t="array" ref="BE83">_xlfn.IFS(AND(A83&gt;=DA$6,B83&gt;=DB$6),0,AND(B83&gt;=DB$6,A83&gt;=Lookups!C$35),F83/VLOOKUP(A83,Lookups!C$37:D$67,2),B83&lt;Lookups!$C$35,0,B83&gt;=Lookups!C$35,F83/VLOOKUP(B83,Lookups!C$37:D$67,2))</f>
        <v>0</v>
      </c>
      <c r="BF83" s="1" cm="1">
        <f t="array" ref="BF83">_xlfn.IFS($BB83&lt;=0,0,AND(A83&gt;=DA$4,B83&gt;=DB$4,$BB83*I83&lt;(BD83+BE83)),0,AND(A83&gt;=DA$4,B83&gt;=DB$4,H83&gt;=(BB83*I83)-BD83-BE83),(BB83*I83)-BD83-BE83,AND(A83&gt;=DA$4,B83&gt;=DB$4,H83&lt;(BB83*I83)-BD83-BE83),H83,AND(A83&gt;=DA$4,$BB83*I83&lt;(BD83)),0,AND(A83&gt;=DA$4,H83&gt;=(BB83*I83)-BD83),(BB83*I83)-BD83,AND(A83&gt;=DA$4,H83&lt;(BB83*I83)-BD83),H83,AND(B83&gt;=DB$4,$BB83*I83&lt;(BE83)),0,AND(B83&gt;=DB$4,H83&gt;=(BB83*I83)-BE83),(BB83*I83)-BE83,AND(B83&gt;=DB$4,H83&lt;(BB83*I83)-BE83),H83)</f>
        <v>0</v>
      </c>
      <c r="BG83" s="1">
        <f t="shared" si="66"/>
        <v>0</v>
      </c>
      <c r="BH83" s="1" cm="1">
        <f t="array" ref="BH83">_xlfn.IFS(OR(D83=0,A83&lt;DA$4),0,AND(A83&gt;=DA$4,B83&gt;=DB$4,D83&lt;BD83+($BF83*(D83/$H83))+(-$BP83*(D83/$H83))),D83,AND(A83&gt;=DA$4,B83&gt;=DB$4,$BB83&gt;$BG83),BD83+($BF83*(D83/$H83))+(-$BP83*(D83/$H83)),AND(A83&gt;=DA$4,B83&gt;=DB$4,OR(A83&gt;DA$6, B83&gt;DB$6),$AP83-SUM($AW83,$AY83:$AZ83)&lt;0),BD83+($BF83*(D83/$H83))+(-$BP83*(D83/$H83))+(BP83*(D83/$H83)),AND(A83&gt;=DA$4,B83&gt;=DB$4,$AQ83-SUM($AW83,$AY83:$AZ83)&lt;0),BD83+($BF83*(D83/$H83))+(-$BP83*(D83/$H83))+(BP83*(D83/$H83)),AND(A83&gt;=DA$4,D83&lt;BD83+$BF83-$BP83),D83,AND(A83&gt;=DA$4,$AP83-SUM($AW83,$AY83:$AZ83)&lt;0),BD83+($BF83*(D83/$H83))+(-$BP83*(D83/$H83))+(BP83*(D83/$H83)),A83&gt;=DA$4,BD83+$BF83-$BP83)</f>
        <v>0</v>
      </c>
      <c r="BI83" s="1" cm="1">
        <f t="array" ref="BI83">_xlfn.IFS(OR(F83=0,B83&lt;DB$4),0,AND(A83&gt;=DA$4,B83&gt;=DB$4,F83&lt;BE83+($BF83*(F83/$H83))+(-$BP83*(F83/$H83))),F83,AND(A83&gt;=DA$4,B83&gt;=DB$4,$BB83&gt;$BG83),BE83+($BF83*(F83/$H83))+(-$BP83*(F83/$H83)),AND(A83&gt;=DA$4,B83&gt;=DB$4,OR(A83&gt;DA$6, B83&gt;DB$6),$AP83-SUM($AW83,$AY83:$AZ83)&lt;0),BE83+($BF83*(F83/$H83))+(-$BP83*(F83/$H83))+(BP83*(F83/$H83)),AND(A83&gt;=DA$4,B83&gt;=DB$4,$AQ83-SUM($AW83,$AY83:$AZ83)&lt;0),BE83+($BF83*(F83/$H83))+(-$BP83*(F83/$H83))+(BP83*(F83/$H83)),AND(B83&gt;=DB$4,F83&lt;BE83+$BF83-$BP83),F83,AND(B83&gt;=DB$4,$AP83-SUM($AW83,$AY83:$AZ83)&lt;0),BE83+($BF83*(F83/$H83))+(-$BP83*(F83/$H83))+(BP83*(F83/$H83)),B83&gt;=DB$4,BE83+$BF83-$BP83)</f>
        <v>0</v>
      </c>
      <c r="BJ83" s="64" cm="1">
        <f t="array" ref="BJ83">IF(AW83+BA83+BG83&gt;0, AW83+BA83+BG83-_xlfn.IFS(AND(A83&gt;=65,B83&gt;=65),VLOOKUP(Setup!I$4,Lookups!C$133:F$136,4),OR(A83&gt;=65,B83&gt;=65),VLOOKUP(Setup!I$4,Lookups!C$133:E$136,3),AND(A83&lt;65,B83&lt;65),VLOOKUP(Setup!I$4,Lookups!C$133:D$136,2)),0)</f>
        <v>0</v>
      </c>
      <c r="BK83" s="1" cm="1">
        <f t="array" ref="BK83">IF(BJ83&gt;0,_xlfn.IFS(Setup!I$4=Lookups!D$109,-_xlfn.IFS($BJ83&gt;=Lookups!D$157, Lookups!F$157+($BJ83-Lookups!D$157)*Lookups!G$157,$BJ83&gt;=Lookups!D$156, Lookups!F$156+($BJ83-Lookups!D$156)*Lookups!G$156,$BJ83&gt;=Lookups!D$155, Lookups!F$155+($BJ83-Lookups!D$155)*Lookups!G$155,$BJ83&gt;=Lookups!D$154, Lookups!F$154+($BJ83-Lookups!D$154)*Lookups!G$154,$BJ83&gt;=Lookups!D$153, Lookups!F$153+($BJ83-Lookups!D$153)*Lookups!G$153,$BJ83&gt;=Lookups!D$152, Lookups!F$152+($BJ83-Lookups!D$152)*Lookups!G$152,$BJ83&lt;Lookups!D$152,$BJ83*Lookups!G$151),Setup!I$4=Lookups!D$110,-_xlfn.IFS($BJ83&gt;=Lookups!D$167, Lookups!F$167+($BJ83-Lookups!D$167)*Lookups!G$167,$BJ83&gt;=Lookups!D$166, Lookups!F$166+($BJ83-Lookups!D$166)*Lookups!G$166,$BJ83&gt;=Lookups!D$165, Lookups!F$165+($BJ83-Lookups!D$165)*Lookups!G$165,$BJ83&gt;=Lookups!D$164, Lookups!F$164+($BJ83-Lookups!D$164)*Lookups!G$164,$BJ83&gt;=Lookups!D$163, Lookups!F$163+($BJ83-Lookups!D$163)*Lookups!G$163,$BJ83&gt;=Lookups!D$162, Lookups!F$162+($BJ83-Lookups!D$162)*Lookups!G$162,$BJ83&lt;Lookups!D$162,$BJ83*Lookups!G$161),Setup!I$4=Lookups!D$111,-_xlfn.IFS($BJ83&gt;=Lookups!D$177, Lookups!F$177+($BJ83-Lookups!D$177)*Lookups!G$177,$BJ83&gt;=Lookups!D$176, Lookups!F$176+($BJ83-Lookups!D$176)*Lookups!G$176,$BJ83&gt;=Lookups!D$175, Lookups!F$175+($BJ83-Lookups!D$175)*Lookups!G$175,$BJ83&gt;=Lookups!D$174, Lookups!F$174+($BJ83-Lookups!D$174)*Lookups!G$174,$BJ83&gt;=Lookups!D$173, Lookups!F$173+($BJ83-Lookups!D$173)*Lookups!G$173,$BJ83&gt;=Lookups!D$172, Lookups!F$172+($BJ83-Lookups!D$172)*Lookups!G$172,$BJ83&lt;Lookups!D$172,$BJ83*Lookups!G$171), Setup!I$4=Lookups!D$112,-_xlfn.IFS($BJ83&gt;=Lookups!D$187, Lookups!F$187+($BJ83-Lookups!D$187)*Lookups!G$187,$BJ83&gt;=Lookups!D$186, Lookups!F$186+($BJ83-Lookups!D$186)*Lookups!G$186,$BJ83&gt;=Lookups!D$185, Lookups!F$185+($BJ83-Lookups!D$185)*Lookups!G$185,$BJ83&gt;=Lookups!D$184, Lookups!F$184+($BJ83-Lookups!D$184)*Lookups!G$184,$BJ83&gt;=Lookups!D$183, Lookups!F$183+($BJ83-Lookups!D$183)*Lookups!G$183,$BJ83&gt;=Lookups!D$182, Lookups!F$182+($BJ83-Lookups!D$182)*Lookups!G$182,$BJ83&lt;Lookups!D$182,$BJ83*Lookups!G$181)),0)</f>
        <v>0</v>
      </c>
      <c r="BL83" s="18">
        <f t="shared" si="76"/>
        <v>0</v>
      </c>
      <c r="BM83" s="134">
        <f t="shared" si="67"/>
        <v>0</v>
      </c>
      <c r="BN83" s="134" cm="1">
        <f t="array" aca="1" ref="BN83" ca="1">INDIRECT(Setup!I$6&amp;"!"&amp;"A"&amp;ROW())</f>
        <v>0</v>
      </c>
      <c r="BO83" s="134">
        <f t="shared" si="84"/>
        <v>0</v>
      </c>
      <c r="BP83" s="1">
        <f t="shared" si="77"/>
        <v>0</v>
      </c>
      <c r="BQ83" s="1">
        <f t="shared" si="85"/>
        <v>0</v>
      </c>
      <c r="BS83" s="1">
        <f t="shared" si="86"/>
        <v>0</v>
      </c>
      <c r="BT83" s="1" cm="1">
        <f t="array" ref="BT83">-IF(BS83&gt;0,_xlfn.IFS((AW83+BA83+BG83+BS83)&gt;=VLOOKUP(Setup!I$4,Lookups!C$210:E$213,3),BS83*Lookups!D$203,(AW83+BA83+BG83+BS83)&gt;=VLOOKUP(Setup!I$4,Lookups!C$210:E$213,2),BS83*Lookups!D$197,(AW83+BA83+BG83+BS83)&lt;VLOOKUP(Setup!I$4,Lookups!C$210:E$213,2),0),0)</f>
        <v>0</v>
      </c>
      <c r="BU83" s="18">
        <f t="shared" si="87"/>
        <v>0</v>
      </c>
      <c r="BV83" s="1">
        <f t="shared" si="88"/>
        <v>0</v>
      </c>
      <c r="BW83" s="1" cm="1">
        <f t="array" aca="1" ref="BW83" ca="1">INDIRECT(Setup!I$6&amp;"!"&amp;"A"&amp;ROW()+100)</f>
        <v>0</v>
      </c>
      <c r="BX83" s="1">
        <f t="shared" ca="1" si="78"/>
        <v>0</v>
      </c>
      <c r="BY83" s="1">
        <f t="shared" ca="1" si="79"/>
        <v>0</v>
      </c>
      <c r="CA83" s="1">
        <f t="shared" si="91"/>
        <v>0</v>
      </c>
      <c r="CC83" s="1" cm="1">
        <f t="array" ref="CC83">_xlfn.IFS(AND(A83&lt;$DA$4,B83&lt;$DB$4),0,AND(AND(A83&gt;=$DA$4,B83&gt;=$DB$4),AND(A83&lt;=$DA$6,B83&lt;=$DB$6),AND(BH83=0,BI83=0)),SUM(AW83,AY83:AZ83,BD83:BF83,BP83,BS83,CA83)-AQ83,AND(AND(A83&gt;=$DA$4,B83&gt;=$DB$4),AND(A83&lt;=$DA$6,B83&lt;=$DB$6)),SUM(AW83,AY83:AZ83,BD83:BF83,BS83,CA83)-AQ83,AND(OR(A83&gt;=$DA$4,B83&gt;=$DB$4),AND(BH83=0,BI83=0)),SUM(AW83,AY83:AZ83,BD83:BF83,BP83,BS83,CA83)-AP83,OR(A83&gt;=$DA$4,B83&gt;=$DB$4),SUM(AW83,AY83:AZ83,BD83:BF83,BS83,CA83)-AP83)</f>
        <v>0</v>
      </c>
      <c r="CD83" s="142" t="str">
        <f t="shared" si="89"/>
        <v/>
      </c>
    </row>
    <row r="84" spans="1:82" x14ac:dyDescent="0.3">
      <c r="A84" s="354">
        <f t="shared" si="68"/>
        <v>77</v>
      </c>
      <c r="B84" s="354">
        <f t="shared" si="69"/>
        <v>77</v>
      </c>
      <c r="C84" s="359">
        <f t="shared" si="90"/>
        <v>28126</v>
      </c>
      <c r="D84" s="326" cm="1">
        <f t="array" ref="D84">_xlfn.IFS(AND(A84&gt;DA$6,B84&gt;DB$6),0,AND(A84&gt;DA$3,A84&lt;=DA$4),D83*(1+DH$1),OR(A84&gt;DA$6,A84&gt;DA$4),(D83-BH83)*(1+DH$2),A84&lt;=DA$4,(D83*(1+DH$1))+(D$4))</f>
        <v>0</v>
      </c>
      <c r="E84" s="375"/>
      <c r="F84" s="326" cm="1">
        <f t="array" ref="F84">_xlfn.IFS(AND(A84&gt;DA$6,B84&gt;DB$6),0,AND(B84&gt;DB$3,B84&lt;=DB$4),F83*(1+DH$1),OR(B84&gt;DB$6,B84&gt;DB$4),(F83-BI83)*(1+DH$2),B84&lt;=DB$4,(F83*(1+DH$1))+(F$4))</f>
        <v>0</v>
      </c>
      <c r="G84" s="375"/>
      <c r="H84" s="1">
        <f t="shared" si="93"/>
        <v>0</v>
      </c>
      <c r="I84" s="2">
        <f t="shared" si="70"/>
        <v>0</v>
      </c>
      <c r="J84" s="14">
        <f t="shared" si="94"/>
        <v>0</v>
      </c>
      <c r="L84" s="402" cm="1">
        <f t="array" ref="L84">_xlfn.IFS(AND(A84&gt;DA$6,B84&gt;DB$6),0,A84&lt;DA$6,0,A84=DA$6,L$4,AND(A84&gt;DA$6,B84&lt;=DB$4),L83*(1+DH$1),AND(A84&gt;DA$6,B84&gt;DB$4),IF(Y83=0,0,(L83-((L83/Y83)*BY83))*(1+DH$2)))</f>
        <v>0</v>
      </c>
      <c r="M84" s="402" cm="1">
        <f t="array" ref="M84">_xlfn.IFS(AND(A84&gt;DA$6,B84&gt;DB$6),0,B84&lt;DB$6,0,B84=DB$6,M$4,AND(B84&gt;DB$6,A84&lt;=DA$4),M83*(1+DH$1),AND(A84&gt;DA$4,B84&gt;DB$6),IF(Y83=0,0,(M83-((M83/Y83)*BY83))*(1+DH$2)))</f>
        <v>0</v>
      </c>
      <c r="N84" s="327"/>
      <c r="O84" s="327" cm="1">
        <f t="array" ref="O84">_xlfn.IFS(OR(ISBLANK(Setup!C$63),Setup!C$63&gt;YEAR(C84),AND(A84&gt;DA$6,B84&gt;DB$6),ISBLANK(Y83)),0,Setup!C$63=YEAR(C84),Setup!C$62,AND(OR(A84&lt;=DA$4,B84&lt;=DB$4),Setup!C$63&lt;YEAR(C84)),O83*(1+DH$1),AND(A84&gt;DA$4,B84&gt;DB$4,Setup!C$63&lt;YEAR(C84)),IF(Y83=0,0,(O83-((O83/Y83)*BY83))*(1+DH$2)))</f>
        <v>0</v>
      </c>
      <c r="P84" s="327" cm="1">
        <f t="array" ref="P84">_xlfn.IFS(OR(ISBLANK(Setup!C$67),Setup!C$67&gt;YEAR(C84),AND(A84&gt;DA$6,B84&gt;DB$6)),0,Setup!C$67=YEAR(C84),Setup!C$66,AND(OR(A84&lt;=DA$4,B84&lt;=DB$4),Setup!C$67&lt;YEAR(C84)),P83*(1+DH$1),AND(A84&gt;DA$4,B84&gt;DB$4,Setup!C$67&lt;YEAR(C84)),IF(Y83=0,0,(P83-((P83/Y83)*BY83))*(1+DH$2)))</f>
        <v>0</v>
      </c>
      <c r="Q84" s="327" cm="1">
        <f t="array" ref="Q84">_xlfn.IFS(OR(ISBLANK(Setup!C$71),Setup!C$71&gt;YEAR(C84),AND(A84&gt;DA$6,B84&gt;DB$6)),0,Setup!C$71=YEAR(C84),Setup!C$70,AND(OR(A84&lt;=DA$4,B84&lt;=DB$4),Setup!C$71&lt;YEAR(C84)),Q83*(1+DH$1),AND(A84&gt;DA$4,B84&gt;DB$4,Setup!C$71&lt;YEAR(C84)),IF(Y83=0,0,(Q83-((Q83/Y83)*BY83))*(1+DH$2)))</f>
        <v>0</v>
      </c>
      <c r="R84" s="327" cm="1">
        <f t="array" ref="R84">_xlfn.IFS(OR(ISBLANK(Setup!C$75),Setup!C$75&gt;YEAR(C84),AND(A84&gt;DA$6,B84&gt;DB$6)),0,Setup!C$75=YEAR(C84),Setup!C$74,AND(OR(A84&lt;=DA$4,B84&lt;=DB$4),Setup!C$75&lt;YEAR(C84)),R83*(1+DH$1),AND(A84&gt;DA$4,B84&gt;DB$4,Setup!C$75&lt;YEAR(C84)),IF(Y83=0,0,(R83-((R83/Y83)*BY83))*(1+DH$2)))</f>
        <v>0</v>
      </c>
      <c r="S84" s="327"/>
      <c r="T84" s="326" cm="1">
        <f t="array" ref="T84">_xlfn.IFS(AND($A84&gt;$DA$6,$B84&gt;$DB$6),0,AND($W$2=$DA$2,$A84&gt;$DA$4),IF($Y83=0,0,(T83-((T83/$Y83)*$BY83))*(1+$DH$2)),AND($W$2=$DB$2,$B84&gt;$DB$4),IF($Y83=0,0,(T83-((T83/$Y83)*$BY83))*(1+$DH$2)),AND($W$2=$DA$2,OR($A84&gt;$DA$3,$A84&gt;$DA$6)),(T83*(1+$DH$1)),AND($W$2=$DB$2,OR($B84&gt;$DB$3,$B84&gt;$DB$6)),(T83*(1+$DH$1)),AND($W$2=$DA$2,$A84&lt;=$DA$3,$A84&lt;=$DA$4,$A84&lt;=$DA$5),(T83*(1+$DH$1))+(T$4),AND($W$2=$DB$2,$B84&lt;=$DB$3,$B84&lt;=$DB$4,$B84&lt;=$DB$5),(T83*(1+$DH$1))+(T$4))</f>
        <v>0</v>
      </c>
      <c r="U84" s="326" cm="1">
        <f t="array" ref="U84">_xlfn.IFS(AND($A84&gt;$DA$6,$B84&gt;$DB$6),0,AND($W$2=$DA$2,$A84&gt;$DA$4),IF($Y83=0,0,(U83-((U83/$Y83)*$BY83))*(1+$DH$2)),AND($W$2=$DB$2,$B84&gt;$DB$4),IF($Y83=0,0,(U83-((U83/$Y83)*$BY83))*(1+$DH$2)),AND($W$2=$DA$2,OR($A84&gt;$DA$3,$A84&gt;$DA$6)),(U83*(1+$DH$1)),AND($W$2=$DB$2,OR($B84&gt;$DB$3,$B84&gt;$DB$6)),(U83*(1+$DH$1)),AND($W$2=$DA$2,$A84&lt;=$DA$3,$A84&lt;=$DA$4,$A84&lt;=$DA$5),(U83*(1+$DH$1))+(U$4),AND($W$2=$DB$2,$B84&lt;=$DB$3,$B84&lt;=$DB$4,$B84&lt;=$DB$5),(U83*(1+$DH$1))+(U$4))</f>
        <v>0</v>
      </c>
      <c r="V84" s="326" cm="1">
        <f t="array" ref="V84">_xlfn.IFS(AND($A84&gt;$DA$6,$B84&gt;$DB$6),0,AND($W$2=$DA$2,$A84&gt;$DA$4),IF($Y83=0,0,(V83-((V83/$Y83)*$BY83))*(1+$DH$2)),AND($W$2=$DB$2,$B84&gt;$DB$4),IF($Y83=0,0,(V83-((V83/$Y83)*$BY83))*(1+$DH$2)),AND($W$2=$DA$2,OR($A84&gt;$DA$3,$A84&gt;$DA$6)),(V83*(1+$DH$1)),AND($W$2=$DB$2,OR($B84&gt;$DB$3,$B84&gt;$DB$6)),(V83*(1+$DH$1)),AND($W$2=$DA$2,$A84&lt;=$DA$3,$A84&lt;=$DA$4,$A84&lt;=$DA$5),(V83*(1+$DH$1))+(V$4),AND($W$2=$DB$2,$B84&lt;=$DB$3,$B84&lt;=$DB$4,$B84&lt;=$DB$5),(V83*(1+$DH$1))+(V$4))</f>
        <v>0</v>
      </c>
      <c r="W84" s="326" cm="1">
        <f t="array" ref="W84">_xlfn.IFS(AND($A84&gt;$DA$6,$B84&gt;$DB$6),0,AND($W$2=$DA$2,$A84&gt;$DA$4),IF($Y83=0,0,(W83-((W83/$Y83)*$BY83))*(1+$DH$2)),AND($W$2=$DB$2,$B84&gt;$DB$4),IF($Y83=0,0,(W83-((W83/$Y83)*$BY83))*(1+$DH$2)),AND($W$2=$DA$2,OR($A84&gt;$DA$3,$A84&gt;$DA$6)),(W83*(1+$DH$1)),AND($W$2=$DB$2,OR($B84&gt;$DB$3,$B84&gt;$DB$6)),(W83*(1+$DH$1)),AND($W$2=$DA$2,$A84&lt;=$DA$3,$A84&lt;=$DA$4,$A84&lt;=$DA$5),(W83*(1+$DH$1))+(W$4),AND($W$2=$DB$2,$B84&lt;=$DB$3,$B84&lt;=$DB$4,$B84&lt;=$DB$5),(W83*(1+$DH$1))+(W$4))</f>
        <v>0</v>
      </c>
      <c r="Y84" s="1">
        <f t="shared" si="80"/>
        <v>0</v>
      </c>
      <c r="Z84" s="2">
        <f t="shared" si="71"/>
        <v>0</v>
      </c>
      <c r="AA84" s="375"/>
      <c r="AC84" s="326" cm="1">
        <f t="array" ref="AC84">_xlfn.IFS(AND(A84&gt;DA$6,B84&gt;DB$6),0,AND(A84&gt;DA$4,B84&gt;DB$4),IF(AG83=0,0,(AC83-((AC83/AG83)*CA83))*(1+DH$2)),OR(A84&gt;DA$3,A84&gt;DA$6),AC83*(1+DH$1),A84&gt;DA$4,(AC83-CA83)*(1+DH$2),AND(A84&lt;=DA$3,A84&lt;=DA$4,A84&lt;=DA$6),(AC83*(1+DH$1))+(AC$4))</f>
        <v>0</v>
      </c>
      <c r="AD84" s="375"/>
      <c r="AE84" s="326" cm="1">
        <f t="array" ref="AE84">_xlfn.IFS(AND(A84&gt;DA$6,B84&gt;DB$6),0,AND(A84&gt;DA$4,B84&gt;DB$4),IF(AG83=0,0,(AE83-((AE83/AG83)*CA83))*(1+DH$2)),OR(B84&gt;DB$3,B84&gt;DB$6),AE83*(1+DH$1),B84&gt;DB$4,(AE83-CA83)*(1+DH$2),AND(B84&lt;=DB$3,B84&lt;=DB$4,B84&lt;=DB$6),(AE83*(1+DH$1))+(AE$4))</f>
        <v>0</v>
      </c>
      <c r="AF84" s="375"/>
      <c r="AG84" s="1">
        <f t="shared" si="92"/>
        <v>0</v>
      </c>
      <c r="AH84" s="2">
        <f t="shared" si="81"/>
        <v>0</v>
      </c>
      <c r="AI84" s="14">
        <f t="shared" si="72"/>
        <v>0</v>
      </c>
      <c r="AK84" s="1">
        <f t="shared" si="82"/>
        <v>0</v>
      </c>
      <c r="AL84" s="14">
        <f t="shared" si="73"/>
        <v>0</v>
      </c>
      <c r="AM84" s="14" t="str">
        <f t="shared" si="83"/>
        <v/>
      </c>
      <c r="AO84" s="15">
        <f t="shared" si="74"/>
        <v>0</v>
      </c>
      <c r="AP84" s="1">
        <f>IF(AND(B84&gt;=$DB$6,A84&gt;=$DA$6),0,AP83*(1+Lookups!C$12))</f>
        <v>0</v>
      </c>
      <c r="AQ84" s="1">
        <f>IF(AND(B84&gt;=$DB$6,A84&gt;=$DA$6),0,AQ83*(1+Lookups!C$12))</f>
        <v>0</v>
      </c>
      <c r="AS84" s="1" cm="1">
        <f t="array" ref="AS84">_xlfn.IFS(OR(AS$6="",AND(A84&gt;=DA$6,B84&gt;=DB$6),AND(A84&lt;DA$4,B84&lt;DB$4)),0,AND(A84=DA$4,DA$4&lt;=DB$4),AS$6,AND(B84=DB$4,DA$4&gt;=DB$4),AS$6,OR(A84&gt;DA$4,B84&gt;DB$4),AS83*(1+Setup!C$103))</f>
        <v>0</v>
      </c>
      <c r="AT84" s="1" cm="1">
        <f t="array" ref="AT84">_xlfn.IFS(OR(AT$6="",AND(A84&gt;=DA$6,B84&gt;=DB$6),AND(A84&lt;DA$4,B84&lt;DB$4)),0,AND(A84=DA$4,DA$4&lt;=DB$4),AT$6,AND(B84=DB$4,DA$4&gt;=DB$4),AT$6,OR(A84&gt;DA$4,B84&gt;DB$4),AT83*(1+Setup!C$103))</f>
        <v>0</v>
      </c>
      <c r="AU84" s="1" cm="1">
        <f t="array" ref="AU84">_xlfn.IFS(OR(AU$6="",AND(A84&gt;=DA$6,B84&gt;=DB$6),AND(A84&lt;DA$4,B84&lt;DB$4)),0,AND(A84=DA$4,DA$4&lt;=DB$4),AU$6,AND(B84=DB$4,DA$4&gt;=DB$4),AU$6,OR(A84&gt;DA$4,B84&gt;DB$4),AU83*(1+Setup!C$103))</f>
        <v>0</v>
      </c>
      <c r="AV84" s="1" cm="1">
        <f t="array" ref="AV84">_xlfn.IFS(OR(AV$6="",AND(A84&gt;=DA$6,B84&gt;=DB$6),AND(A84&lt;DA$4,B84&lt;DB$4)),0,AND(A84=DA$4,DA$4&lt;=DB$4),AV$6,AND(B84=DB$4,DA$4&gt;=DB$4),AV$6,OR(A84&gt;DA$4,B84&gt;DB$4),AV83*(1+Setup!C$103))</f>
        <v>0</v>
      </c>
      <c r="AW84" s="1">
        <f t="shared" si="75"/>
        <v>0</v>
      </c>
      <c r="AY84" s="1" cm="1">
        <f t="array" ref="AY84">_xlfn.IFS(OR(AND(A84&gt;=DA$6,B84&gt;=DB$6),A84&lt;DA$5),0,AND(A84=DA$5,YEAR(C84)&gt;=Lookups!D$89),VLOOKUP(A84,Lookups!B$94:F$102,3),AND(A84=DA$5,YEAR(C84)&lt;Lookups!D$89),VLOOKUP(A84,Lookups!B$94:F$102,2),AND(A84&gt;DA$5,YEAR(C84)=Lookups!D$89),(AY83*Lookups!D$90)*(1+Lookups!C$20),AND(A84&gt;DA$5,YEAR(C84)&lt;&gt;Lookups!D$89),AY83*(1+Lookups!C$20))</f>
        <v>0</v>
      </c>
      <c r="AZ84" s="1" cm="1">
        <f t="array" ref="AZ84">_xlfn.IFS(OR(ISBLANK(Setup!K$91),Setup!K$91=0,AND(A84&gt;=DA$6,B84&gt;=DB$6),B84&lt;DB$5),0,AND(B84=DB$5,YEAR(C84)&gt;=Lookups!D$89),VLOOKUP(B84,Lookups!B$94:F$102,5),AND(B84=DB$5,YEAR(C84)&lt;Lookups!D$89),VLOOKUP(B84,Lookups!B$94:F$102,4),AND(B84&gt;DB$5,YEAR(C84)=Lookups!D$89),(AZ83*Lookups!D$90)*(1+Lookups!C$20),AND(B84&gt;DB$5,YEAR(C84)&lt;&gt;Lookups!D$89),AZ83*(1+Lookups!C$20))</f>
        <v>0</v>
      </c>
      <c r="BA84" s="65">
        <f>IF(OR(AY84&gt;0,AZ84&gt;0),(AY84+AZ84)*Lookups!D$120,0)</f>
        <v>0</v>
      </c>
      <c r="BB84" s="1" cm="1">
        <f t="array" ref="BB84">_xlfn.IFS(AND(A84&lt;DA$4,B84&lt;DB$4),0,OR(_xlfn.XOR(A84&gt;DA$6,B84&gt;DB$6),_xlfn.XOR(A84&gt;=DA$4,B84&gt;=DB$4)),IF(AP84-SUM(AW84,AY84:AZ84)&gt;0,AP84-SUM(AW84,AY84:AZ84),0),AQ84-SUM(AW84,AY84:AZ84)&gt;0, AQ84-SUM(AW84,AY84:AZ84),AQ84-SUM(AW84,AY84:AZ84)&lt;=0,0)</f>
        <v>0</v>
      </c>
      <c r="BD84" s="1" cm="1">
        <f t="array" ref="BD84">_xlfn.IFS(AND(A84&gt;=DA$6,B84&gt;=DB$6),0,AND(A84&gt;=DA$6,B84&gt;=Lookups!C$35),D84/VLOOKUP(B84,Lookups!C$37:D$67,2),A84&lt;Lookups!$C$35,0,A84&gt;=Lookups!C$35,D84/VLOOKUP(A84,Lookups!C$37:D$67,2))</f>
        <v>0</v>
      </c>
      <c r="BE84" s="1" cm="1">
        <f t="array" ref="BE84">_xlfn.IFS(AND(A84&gt;=DA$6,B84&gt;=DB$6),0,AND(B84&gt;=DB$6,A84&gt;=Lookups!C$35),F84/VLOOKUP(A84,Lookups!C$37:D$67,2),B84&lt;Lookups!$C$35,0,B84&gt;=Lookups!C$35,F84/VLOOKUP(B84,Lookups!C$37:D$67,2))</f>
        <v>0</v>
      </c>
      <c r="BF84" s="1" cm="1">
        <f t="array" ref="BF84">_xlfn.IFS($BB84&lt;=0,0,AND(A84&gt;=DA$4,B84&gt;=DB$4,$BB84*I84&lt;(BD84+BE84)),0,AND(A84&gt;=DA$4,B84&gt;=DB$4,H84&gt;=(BB84*I84)-BD84-BE84),(BB84*I84)-BD84-BE84,AND(A84&gt;=DA$4,B84&gt;=DB$4,H84&lt;(BB84*I84)-BD84-BE84),H84,AND(A84&gt;=DA$4,$BB84*I84&lt;(BD84)),0,AND(A84&gt;=DA$4,H84&gt;=(BB84*I84)-BD84),(BB84*I84)-BD84,AND(A84&gt;=DA$4,H84&lt;(BB84*I84)-BD84),H84,AND(B84&gt;=DB$4,$BB84*I84&lt;(BE84)),0,AND(B84&gt;=DB$4,H84&gt;=(BB84*I84)-BE84),(BB84*I84)-BE84,AND(B84&gt;=DB$4,H84&lt;(BB84*I84)-BE84),H84)</f>
        <v>0</v>
      </c>
      <c r="BG84" s="1">
        <f t="shared" si="66"/>
        <v>0</v>
      </c>
      <c r="BH84" s="1" cm="1">
        <f t="array" ref="BH84">_xlfn.IFS(OR(D84=0,A84&lt;DA$4),0,AND(A84&gt;=DA$4,B84&gt;=DB$4,D84&lt;BD84+($BF84*(D84/$H84))+(-$BP84*(D84/$H84))),D84,AND(A84&gt;=DA$4,B84&gt;=DB$4,$BB84&gt;$BG84),BD84+($BF84*(D84/$H84))+(-$BP84*(D84/$H84)),AND(A84&gt;=DA$4,B84&gt;=DB$4,OR(A84&gt;DA$6, B84&gt;DB$6),$AP84-SUM($AW84,$AY84:$AZ84)&lt;0),BD84+($BF84*(D84/$H84))+(-$BP84*(D84/$H84))+(BP84*(D84/$H84)),AND(A84&gt;=DA$4,B84&gt;=DB$4,$AQ84-SUM($AW84,$AY84:$AZ84)&lt;0),BD84+($BF84*(D84/$H84))+(-$BP84*(D84/$H84))+(BP84*(D84/$H84)),AND(A84&gt;=DA$4,D84&lt;BD84+$BF84-$BP84),D84,AND(A84&gt;=DA$4,$AP84-SUM($AW84,$AY84:$AZ84)&lt;0),BD84+($BF84*(D84/$H84))+(-$BP84*(D84/$H84))+(BP84*(D84/$H84)),A84&gt;=DA$4,BD84+$BF84-$BP84)</f>
        <v>0</v>
      </c>
      <c r="BI84" s="1" cm="1">
        <f t="array" ref="BI84">_xlfn.IFS(OR(F84=0,B84&lt;DB$4),0,AND(A84&gt;=DA$4,B84&gt;=DB$4,F84&lt;BE84+($BF84*(F84/$H84))+(-$BP84*(F84/$H84))),F84,AND(A84&gt;=DA$4,B84&gt;=DB$4,$BB84&gt;$BG84),BE84+($BF84*(F84/$H84))+(-$BP84*(F84/$H84)),AND(A84&gt;=DA$4,B84&gt;=DB$4,OR(A84&gt;DA$6, B84&gt;DB$6),$AP84-SUM($AW84,$AY84:$AZ84)&lt;0),BE84+($BF84*(F84/$H84))+(-$BP84*(F84/$H84))+(BP84*(F84/$H84)),AND(A84&gt;=DA$4,B84&gt;=DB$4,$AQ84-SUM($AW84,$AY84:$AZ84)&lt;0),BE84+($BF84*(F84/$H84))+(-$BP84*(F84/$H84))+(BP84*(F84/$H84)),AND(B84&gt;=DB$4,F84&lt;BE84+$BF84-$BP84),F84,AND(B84&gt;=DB$4,$AP84-SUM($AW84,$AY84:$AZ84)&lt;0),BE84+($BF84*(F84/$H84))+(-$BP84*(F84/$H84))+(BP84*(F84/$H84)),B84&gt;=DB$4,BE84+$BF84-$BP84)</f>
        <v>0</v>
      </c>
      <c r="BJ84" s="64" cm="1">
        <f t="array" ref="BJ84">IF(AW84+BA84+BG84&gt;0, AW84+BA84+BG84-_xlfn.IFS(AND(A84&gt;=65,B84&gt;=65),VLOOKUP(Setup!I$4,Lookups!C$133:F$136,4),OR(A84&gt;=65,B84&gt;=65),VLOOKUP(Setup!I$4,Lookups!C$133:E$136,3),AND(A84&lt;65,B84&lt;65),VLOOKUP(Setup!I$4,Lookups!C$133:D$136,2)),0)</f>
        <v>0</v>
      </c>
      <c r="BK84" s="1" cm="1">
        <f t="array" ref="BK84">IF(BJ84&gt;0,_xlfn.IFS(Setup!I$4=Lookups!D$109,-_xlfn.IFS($BJ84&gt;=Lookups!D$157, Lookups!F$157+($BJ84-Lookups!D$157)*Lookups!G$157,$BJ84&gt;=Lookups!D$156, Lookups!F$156+($BJ84-Lookups!D$156)*Lookups!G$156,$BJ84&gt;=Lookups!D$155, Lookups!F$155+($BJ84-Lookups!D$155)*Lookups!G$155,$BJ84&gt;=Lookups!D$154, Lookups!F$154+($BJ84-Lookups!D$154)*Lookups!G$154,$BJ84&gt;=Lookups!D$153, Lookups!F$153+($BJ84-Lookups!D$153)*Lookups!G$153,$BJ84&gt;=Lookups!D$152, Lookups!F$152+($BJ84-Lookups!D$152)*Lookups!G$152,$BJ84&lt;Lookups!D$152,$BJ84*Lookups!G$151),Setup!I$4=Lookups!D$110,-_xlfn.IFS($BJ84&gt;=Lookups!D$167, Lookups!F$167+($BJ84-Lookups!D$167)*Lookups!G$167,$BJ84&gt;=Lookups!D$166, Lookups!F$166+($BJ84-Lookups!D$166)*Lookups!G$166,$BJ84&gt;=Lookups!D$165, Lookups!F$165+($BJ84-Lookups!D$165)*Lookups!G$165,$BJ84&gt;=Lookups!D$164, Lookups!F$164+($BJ84-Lookups!D$164)*Lookups!G$164,$BJ84&gt;=Lookups!D$163, Lookups!F$163+($BJ84-Lookups!D$163)*Lookups!G$163,$BJ84&gt;=Lookups!D$162, Lookups!F$162+($BJ84-Lookups!D$162)*Lookups!G$162,$BJ84&lt;Lookups!D$162,$BJ84*Lookups!G$161),Setup!I$4=Lookups!D$111,-_xlfn.IFS($BJ84&gt;=Lookups!D$177, Lookups!F$177+($BJ84-Lookups!D$177)*Lookups!G$177,$BJ84&gt;=Lookups!D$176, Lookups!F$176+($BJ84-Lookups!D$176)*Lookups!G$176,$BJ84&gt;=Lookups!D$175, Lookups!F$175+($BJ84-Lookups!D$175)*Lookups!G$175,$BJ84&gt;=Lookups!D$174, Lookups!F$174+($BJ84-Lookups!D$174)*Lookups!G$174,$BJ84&gt;=Lookups!D$173, Lookups!F$173+($BJ84-Lookups!D$173)*Lookups!G$173,$BJ84&gt;=Lookups!D$172, Lookups!F$172+($BJ84-Lookups!D$172)*Lookups!G$172,$BJ84&lt;Lookups!D$172,$BJ84*Lookups!G$171), Setup!I$4=Lookups!D$112,-_xlfn.IFS($BJ84&gt;=Lookups!D$187, Lookups!F$187+($BJ84-Lookups!D$187)*Lookups!G$187,$BJ84&gt;=Lookups!D$186, Lookups!F$186+($BJ84-Lookups!D$186)*Lookups!G$186,$BJ84&gt;=Lookups!D$185, Lookups!F$185+($BJ84-Lookups!D$185)*Lookups!G$185,$BJ84&gt;=Lookups!D$184, Lookups!F$184+($BJ84-Lookups!D$184)*Lookups!G$184,$BJ84&gt;=Lookups!D$183, Lookups!F$183+($BJ84-Lookups!D$183)*Lookups!G$183,$BJ84&gt;=Lookups!D$182, Lookups!F$182+($BJ84-Lookups!D$182)*Lookups!G$182,$BJ84&lt;Lookups!D$182,$BJ84*Lookups!G$181)),0)</f>
        <v>0</v>
      </c>
      <c r="BL84" s="18">
        <f t="shared" si="76"/>
        <v>0</v>
      </c>
      <c r="BM84" s="134">
        <f t="shared" si="67"/>
        <v>0</v>
      </c>
      <c r="BN84" s="134" cm="1">
        <f t="array" aca="1" ref="BN84" ca="1">INDIRECT(Setup!I$6&amp;"!"&amp;"A"&amp;ROW())</f>
        <v>0</v>
      </c>
      <c r="BO84" s="134">
        <f t="shared" si="84"/>
        <v>0</v>
      </c>
      <c r="BP84" s="1">
        <f t="shared" si="77"/>
        <v>0</v>
      </c>
      <c r="BQ84" s="1">
        <f t="shared" si="85"/>
        <v>0</v>
      </c>
      <c r="BS84" s="1">
        <f t="shared" si="86"/>
        <v>0</v>
      </c>
      <c r="BT84" s="1" cm="1">
        <f t="array" ref="BT84">-IF(BS84&gt;0,_xlfn.IFS((AW84+BA84+BG84+BS84)&gt;=VLOOKUP(Setup!I$4,Lookups!C$210:E$213,3),BS84*Lookups!D$203,(AW84+BA84+BG84+BS84)&gt;=VLOOKUP(Setup!I$4,Lookups!C$210:E$213,2),BS84*Lookups!D$197,(AW84+BA84+BG84+BS84)&lt;VLOOKUP(Setup!I$4,Lookups!C$210:E$213,2),0),0)</f>
        <v>0</v>
      </c>
      <c r="BU84" s="18">
        <f t="shared" si="87"/>
        <v>0</v>
      </c>
      <c r="BV84" s="1">
        <f t="shared" si="88"/>
        <v>0</v>
      </c>
      <c r="BW84" s="1" cm="1">
        <f t="array" aca="1" ref="BW84" ca="1">INDIRECT(Setup!I$6&amp;"!"&amp;"A"&amp;ROW()+100)</f>
        <v>0</v>
      </c>
      <c r="BX84" s="1">
        <f t="shared" ca="1" si="78"/>
        <v>0</v>
      </c>
      <c r="BY84" s="1">
        <f t="shared" ca="1" si="79"/>
        <v>0</v>
      </c>
      <c r="CA84" s="1">
        <f t="shared" si="91"/>
        <v>0</v>
      </c>
      <c r="CC84" s="1" cm="1">
        <f t="array" ref="CC84">_xlfn.IFS(AND(A84&lt;$DA$4,B84&lt;$DB$4),0,AND(AND(A84&gt;=$DA$4,B84&gt;=$DB$4),AND(A84&lt;=$DA$6,B84&lt;=$DB$6),AND(BH84=0,BI84=0)),SUM(AW84,AY84:AZ84,BD84:BF84,BP84,BS84,CA84)-AQ84,AND(AND(A84&gt;=$DA$4,B84&gt;=$DB$4),AND(A84&lt;=$DA$6,B84&lt;=$DB$6)),SUM(AW84,AY84:AZ84,BD84:BF84,BS84,CA84)-AQ84,AND(OR(A84&gt;=$DA$4,B84&gt;=$DB$4),AND(BH84=0,BI84=0)),SUM(AW84,AY84:AZ84,BD84:BF84,BP84,BS84,CA84)-AP84,OR(A84&gt;=$DA$4,B84&gt;=$DB$4),SUM(AW84,AY84:AZ84,BD84:BF84,BS84,CA84)-AP84)</f>
        <v>0</v>
      </c>
      <c r="CD84" s="142" t="str">
        <f t="shared" si="89"/>
        <v/>
      </c>
    </row>
    <row r="85" spans="1:82" x14ac:dyDescent="0.3">
      <c r="A85" s="354">
        <f t="shared" si="68"/>
        <v>78</v>
      </c>
      <c r="B85" s="354">
        <f t="shared" si="69"/>
        <v>78</v>
      </c>
      <c r="C85" s="359">
        <f t="shared" si="90"/>
        <v>28491</v>
      </c>
      <c r="D85" s="326" cm="1">
        <f t="array" ref="D85">_xlfn.IFS(AND(A85&gt;DA$6,B85&gt;DB$6),0,AND(A85&gt;DA$3,A85&lt;=DA$4),D84*(1+DH$1),OR(A85&gt;DA$6,A85&gt;DA$4),(D84-BH84)*(1+DH$2),A85&lt;=DA$4,(D84*(1+DH$1))+(D$4))</f>
        <v>0</v>
      </c>
      <c r="E85" s="375"/>
      <c r="F85" s="326" cm="1">
        <f t="array" ref="F85">_xlfn.IFS(AND(A85&gt;DA$6,B85&gt;DB$6),0,AND(B85&gt;DB$3,B85&lt;=DB$4),F84*(1+DH$1),OR(B85&gt;DB$6,B85&gt;DB$4),(F84-BI84)*(1+DH$2),B85&lt;=DB$4,(F84*(1+DH$1))+(F$4))</f>
        <v>0</v>
      </c>
      <c r="G85" s="375"/>
      <c r="H85" s="1">
        <f t="shared" si="93"/>
        <v>0</v>
      </c>
      <c r="I85" s="2">
        <f t="shared" si="70"/>
        <v>0</v>
      </c>
      <c r="J85" s="14">
        <f t="shared" si="94"/>
        <v>0</v>
      </c>
      <c r="L85" s="402" cm="1">
        <f t="array" ref="L85">_xlfn.IFS(AND(A85&gt;DA$6,B85&gt;DB$6),0,A85&lt;DA$6,0,A85=DA$6,L$4,AND(A85&gt;DA$6,B85&lt;=DB$4),L84*(1+DH$1),AND(A85&gt;DA$6,B85&gt;DB$4),IF(Y84=0,0,(L84-((L84/Y84)*BY84))*(1+DH$2)))</f>
        <v>0</v>
      </c>
      <c r="M85" s="402" cm="1">
        <f t="array" ref="M85">_xlfn.IFS(AND(A85&gt;DA$6,B85&gt;DB$6),0,B85&lt;DB$6,0,B85=DB$6,M$4,AND(B85&gt;DB$6,A85&lt;=DA$4),M84*(1+DH$1),AND(A85&gt;DA$4,B85&gt;DB$6),IF(Y84=0,0,(M84-((M84/Y84)*BY84))*(1+DH$2)))</f>
        <v>0</v>
      </c>
      <c r="N85" s="327"/>
      <c r="O85" s="327" cm="1">
        <f t="array" ref="O85">_xlfn.IFS(OR(ISBLANK(Setup!C$63),Setup!C$63&gt;YEAR(C85),AND(A85&gt;DA$6,B85&gt;DB$6),ISBLANK(Y84)),0,Setup!C$63=YEAR(C85),Setup!C$62,AND(OR(A85&lt;=DA$4,B85&lt;=DB$4),Setup!C$63&lt;YEAR(C85)),O84*(1+DH$1),AND(A85&gt;DA$4,B85&gt;DB$4,Setup!C$63&lt;YEAR(C85)),IF(Y84=0,0,(O84-((O84/Y84)*BY84))*(1+DH$2)))</f>
        <v>0</v>
      </c>
      <c r="P85" s="327" cm="1">
        <f t="array" ref="P85">_xlfn.IFS(OR(ISBLANK(Setup!C$67),Setup!C$67&gt;YEAR(C85),AND(A85&gt;DA$6,B85&gt;DB$6)),0,Setup!C$67=YEAR(C85),Setup!C$66,AND(OR(A85&lt;=DA$4,B85&lt;=DB$4),Setup!C$67&lt;YEAR(C85)),P84*(1+DH$1),AND(A85&gt;DA$4,B85&gt;DB$4,Setup!C$67&lt;YEAR(C85)),IF(Y84=0,0,(P84-((P84/Y84)*BY84))*(1+DH$2)))</f>
        <v>0</v>
      </c>
      <c r="Q85" s="327" cm="1">
        <f t="array" ref="Q85">_xlfn.IFS(OR(ISBLANK(Setup!C$71),Setup!C$71&gt;YEAR(C85),AND(A85&gt;DA$6,B85&gt;DB$6)),0,Setup!C$71=YEAR(C85),Setup!C$70,AND(OR(A85&lt;=DA$4,B85&lt;=DB$4),Setup!C$71&lt;YEAR(C85)),Q84*(1+DH$1),AND(A85&gt;DA$4,B85&gt;DB$4,Setup!C$71&lt;YEAR(C85)),IF(Y84=0,0,(Q84-((Q84/Y84)*BY84))*(1+DH$2)))</f>
        <v>0</v>
      </c>
      <c r="R85" s="327" cm="1">
        <f t="array" ref="R85">_xlfn.IFS(OR(ISBLANK(Setup!C$75),Setup!C$75&gt;YEAR(C85),AND(A85&gt;DA$6,B85&gt;DB$6)),0,Setup!C$75=YEAR(C85),Setup!C$74,AND(OR(A85&lt;=DA$4,B85&lt;=DB$4),Setup!C$75&lt;YEAR(C85)),R84*(1+DH$1),AND(A85&gt;DA$4,B85&gt;DB$4,Setup!C$75&lt;YEAR(C85)),IF(Y84=0,0,(R84-((R84/Y84)*BY84))*(1+DH$2)))</f>
        <v>0</v>
      </c>
      <c r="S85" s="327"/>
      <c r="T85" s="326" cm="1">
        <f t="array" ref="T85">_xlfn.IFS(AND($A85&gt;$DA$6,$B85&gt;$DB$6),0,AND($W$2=$DA$2,$A85&gt;$DA$4),IF($Y84=0,0,(T84-((T84/$Y84)*$BY84))*(1+$DH$2)),AND($W$2=$DB$2,$B85&gt;$DB$4),IF($Y84=0,0,(T84-((T84/$Y84)*$BY84))*(1+$DH$2)),AND($W$2=$DA$2,OR($A85&gt;$DA$3,$A85&gt;$DA$6)),(T84*(1+$DH$1)),AND($W$2=$DB$2,OR($B85&gt;$DB$3,$B85&gt;$DB$6)),(T84*(1+$DH$1)),AND($W$2=$DA$2,$A85&lt;=$DA$3,$A85&lt;=$DA$4,$A85&lt;=$DA$5),(T84*(1+$DH$1))+(T$4),AND($W$2=$DB$2,$B85&lt;=$DB$3,$B85&lt;=$DB$4,$B85&lt;=$DB$5),(T84*(1+$DH$1))+(T$4))</f>
        <v>0</v>
      </c>
      <c r="U85" s="326" cm="1">
        <f t="array" ref="U85">_xlfn.IFS(AND($A85&gt;$DA$6,$B85&gt;$DB$6),0,AND($W$2=$DA$2,$A85&gt;$DA$4),IF($Y84=0,0,(U84-((U84/$Y84)*$BY84))*(1+$DH$2)),AND($W$2=$DB$2,$B85&gt;$DB$4),IF($Y84=0,0,(U84-((U84/$Y84)*$BY84))*(1+$DH$2)),AND($W$2=$DA$2,OR($A85&gt;$DA$3,$A85&gt;$DA$6)),(U84*(1+$DH$1)),AND($W$2=$DB$2,OR($B85&gt;$DB$3,$B85&gt;$DB$6)),(U84*(1+$DH$1)),AND($W$2=$DA$2,$A85&lt;=$DA$3,$A85&lt;=$DA$4,$A85&lt;=$DA$5),(U84*(1+$DH$1))+(U$4),AND($W$2=$DB$2,$B85&lt;=$DB$3,$B85&lt;=$DB$4,$B85&lt;=$DB$5),(U84*(1+$DH$1))+(U$4))</f>
        <v>0</v>
      </c>
      <c r="V85" s="326" cm="1">
        <f t="array" ref="V85">_xlfn.IFS(AND($A85&gt;$DA$6,$B85&gt;$DB$6),0,AND($W$2=$DA$2,$A85&gt;$DA$4),IF($Y84=0,0,(V84-((V84/$Y84)*$BY84))*(1+$DH$2)),AND($W$2=$DB$2,$B85&gt;$DB$4),IF($Y84=0,0,(V84-((V84/$Y84)*$BY84))*(1+$DH$2)),AND($W$2=$DA$2,OR($A85&gt;$DA$3,$A85&gt;$DA$6)),(V84*(1+$DH$1)),AND($W$2=$DB$2,OR($B85&gt;$DB$3,$B85&gt;$DB$6)),(V84*(1+$DH$1)),AND($W$2=$DA$2,$A85&lt;=$DA$3,$A85&lt;=$DA$4,$A85&lt;=$DA$5),(V84*(1+$DH$1))+(V$4),AND($W$2=$DB$2,$B85&lt;=$DB$3,$B85&lt;=$DB$4,$B85&lt;=$DB$5),(V84*(1+$DH$1))+(V$4))</f>
        <v>0</v>
      </c>
      <c r="W85" s="326" cm="1">
        <f t="array" ref="W85">_xlfn.IFS(AND($A85&gt;$DA$6,$B85&gt;$DB$6),0,AND($W$2=$DA$2,$A85&gt;$DA$4),IF($Y84=0,0,(W84-((W84/$Y84)*$BY84))*(1+$DH$2)),AND($W$2=$DB$2,$B85&gt;$DB$4),IF($Y84=0,0,(W84-((W84/$Y84)*$BY84))*(1+$DH$2)),AND($W$2=$DA$2,OR($A85&gt;$DA$3,$A85&gt;$DA$6)),(W84*(1+$DH$1)),AND($W$2=$DB$2,OR($B85&gt;$DB$3,$B85&gt;$DB$6)),(W84*(1+$DH$1)),AND($W$2=$DA$2,$A85&lt;=$DA$3,$A85&lt;=$DA$4,$A85&lt;=$DA$5),(W84*(1+$DH$1))+(W$4),AND($W$2=$DB$2,$B85&lt;=$DB$3,$B85&lt;=$DB$4,$B85&lt;=$DB$5),(W84*(1+$DH$1))+(W$4))</f>
        <v>0</v>
      </c>
      <c r="Y85" s="1">
        <f t="shared" si="80"/>
        <v>0</v>
      </c>
      <c r="Z85" s="2">
        <f t="shared" si="71"/>
        <v>0</v>
      </c>
      <c r="AA85" s="375"/>
      <c r="AC85" s="326" cm="1">
        <f t="array" ref="AC85">_xlfn.IFS(AND(A85&gt;DA$6,B85&gt;DB$6),0,AND(A85&gt;DA$4,B85&gt;DB$4),IF(AG84=0,0,(AC84-((AC84/AG84)*CA84))*(1+DH$2)),OR(A85&gt;DA$3,A85&gt;DA$6),AC84*(1+DH$1),A85&gt;DA$4,(AC84-CA84)*(1+DH$2),AND(A85&lt;=DA$3,A85&lt;=DA$4,A85&lt;=DA$6),(AC84*(1+DH$1))+(AC$4))</f>
        <v>0</v>
      </c>
      <c r="AD85" s="375"/>
      <c r="AE85" s="326" cm="1">
        <f t="array" ref="AE85">_xlfn.IFS(AND(A85&gt;DA$6,B85&gt;DB$6),0,AND(A85&gt;DA$4,B85&gt;DB$4),IF(AG84=0,0,(AE84-((AE84/AG84)*CA84))*(1+DH$2)),OR(B85&gt;DB$3,B85&gt;DB$6),AE84*(1+DH$1),B85&gt;DB$4,(AE84-CA84)*(1+DH$2),AND(B85&lt;=DB$3,B85&lt;=DB$4,B85&lt;=DB$6),(AE84*(1+DH$1))+(AE$4))</f>
        <v>0</v>
      </c>
      <c r="AF85" s="375"/>
      <c r="AG85" s="1">
        <f t="shared" si="92"/>
        <v>0</v>
      </c>
      <c r="AH85" s="2">
        <f t="shared" si="81"/>
        <v>0</v>
      </c>
      <c r="AI85" s="14">
        <f t="shared" si="72"/>
        <v>0</v>
      </c>
      <c r="AK85" s="1">
        <f t="shared" si="82"/>
        <v>0</v>
      </c>
      <c r="AL85" s="14">
        <f t="shared" si="73"/>
        <v>0</v>
      </c>
      <c r="AM85" s="14" t="str">
        <f t="shared" si="83"/>
        <v/>
      </c>
      <c r="AO85" s="15">
        <f t="shared" si="74"/>
        <v>0</v>
      </c>
      <c r="AP85" s="1">
        <f>IF(AND(B85&gt;=$DB$6,A85&gt;=$DA$6),0,AP84*(1+Lookups!C$12))</f>
        <v>0</v>
      </c>
      <c r="AQ85" s="1">
        <f>IF(AND(B85&gt;=$DB$6,A85&gt;=$DA$6),0,AQ84*(1+Lookups!C$12))</f>
        <v>0</v>
      </c>
      <c r="AS85" s="1" cm="1">
        <f t="array" ref="AS85">_xlfn.IFS(OR(AS$6="",AND(A85&gt;=DA$6,B85&gt;=DB$6),AND(A85&lt;DA$4,B85&lt;DB$4)),0,AND(A85=DA$4,DA$4&lt;=DB$4),AS$6,AND(B85=DB$4,DA$4&gt;=DB$4),AS$6,OR(A85&gt;DA$4,B85&gt;DB$4),AS84*(1+Setup!C$103))</f>
        <v>0</v>
      </c>
      <c r="AT85" s="1" cm="1">
        <f t="array" ref="AT85">_xlfn.IFS(OR(AT$6="",AND(A85&gt;=DA$6,B85&gt;=DB$6),AND(A85&lt;DA$4,B85&lt;DB$4)),0,AND(A85=DA$4,DA$4&lt;=DB$4),AT$6,AND(B85=DB$4,DA$4&gt;=DB$4),AT$6,OR(A85&gt;DA$4,B85&gt;DB$4),AT84*(1+Setup!C$103))</f>
        <v>0</v>
      </c>
      <c r="AU85" s="1" cm="1">
        <f t="array" ref="AU85">_xlfn.IFS(OR(AU$6="",AND(A85&gt;=DA$6,B85&gt;=DB$6),AND(A85&lt;DA$4,B85&lt;DB$4)),0,AND(A85=DA$4,DA$4&lt;=DB$4),AU$6,AND(B85=DB$4,DA$4&gt;=DB$4),AU$6,OR(A85&gt;DA$4,B85&gt;DB$4),AU84*(1+Setup!C$103))</f>
        <v>0</v>
      </c>
      <c r="AV85" s="1" cm="1">
        <f t="array" ref="AV85">_xlfn.IFS(OR(AV$6="",AND(A85&gt;=DA$6,B85&gt;=DB$6),AND(A85&lt;DA$4,B85&lt;DB$4)),0,AND(A85=DA$4,DA$4&lt;=DB$4),AV$6,AND(B85=DB$4,DA$4&gt;=DB$4),AV$6,OR(A85&gt;DA$4,B85&gt;DB$4),AV84*(1+Setup!C$103))</f>
        <v>0</v>
      </c>
      <c r="AW85" s="1">
        <f t="shared" si="75"/>
        <v>0</v>
      </c>
      <c r="AY85" s="1" cm="1">
        <f t="array" ref="AY85">_xlfn.IFS(OR(AND(A85&gt;=DA$6,B85&gt;=DB$6),A85&lt;DA$5),0,AND(A85=DA$5,YEAR(C85)&gt;=Lookups!D$89),VLOOKUP(A85,Lookups!B$94:F$102,3),AND(A85=DA$5,YEAR(C85)&lt;Lookups!D$89),VLOOKUP(A85,Lookups!B$94:F$102,2),AND(A85&gt;DA$5,YEAR(C85)=Lookups!D$89),(AY84*Lookups!D$90)*(1+Lookups!C$20),AND(A85&gt;DA$5,YEAR(C85)&lt;&gt;Lookups!D$89),AY84*(1+Lookups!C$20))</f>
        <v>0</v>
      </c>
      <c r="AZ85" s="1" cm="1">
        <f t="array" ref="AZ85">_xlfn.IFS(OR(ISBLANK(Setup!K$91),Setup!K$91=0,AND(A85&gt;=DA$6,B85&gt;=DB$6),B85&lt;DB$5),0,AND(B85=DB$5,YEAR(C85)&gt;=Lookups!D$89),VLOOKUP(B85,Lookups!B$94:F$102,5),AND(B85=DB$5,YEAR(C85)&lt;Lookups!D$89),VLOOKUP(B85,Lookups!B$94:F$102,4),AND(B85&gt;DB$5,YEAR(C85)=Lookups!D$89),(AZ84*Lookups!D$90)*(1+Lookups!C$20),AND(B85&gt;DB$5,YEAR(C85)&lt;&gt;Lookups!D$89),AZ84*(1+Lookups!C$20))</f>
        <v>0</v>
      </c>
      <c r="BA85" s="65">
        <f>IF(OR(AY85&gt;0,AZ85&gt;0),(AY85+AZ85)*Lookups!D$120,0)</f>
        <v>0</v>
      </c>
      <c r="BB85" s="1" cm="1">
        <f t="array" ref="BB85">_xlfn.IFS(AND(A85&lt;DA$4,B85&lt;DB$4),0,OR(_xlfn.XOR(A85&gt;DA$6,B85&gt;DB$6),_xlfn.XOR(A85&gt;=DA$4,B85&gt;=DB$4)),IF(AP85-SUM(AW85,AY85:AZ85)&gt;0,AP85-SUM(AW85,AY85:AZ85),0),AQ85-SUM(AW85,AY85:AZ85)&gt;0, AQ85-SUM(AW85,AY85:AZ85),AQ85-SUM(AW85,AY85:AZ85)&lt;=0,0)</f>
        <v>0</v>
      </c>
      <c r="BD85" s="1" cm="1">
        <f t="array" ref="BD85">_xlfn.IFS(AND(A85&gt;=DA$6,B85&gt;=DB$6),0,AND(A85&gt;=DA$6,B85&gt;=Lookups!C$35),D85/VLOOKUP(B85,Lookups!C$37:D$67,2),A85&lt;Lookups!$C$35,0,A85&gt;=Lookups!C$35,D85/VLOOKUP(A85,Lookups!C$37:D$67,2))</f>
        <v>0</v>
      </c>
      <c r="BE85" s="1" cm="1">
        <f t="array" ref="BE85">_xlfn.IFS(AND(A85&gt;=DA$6,B85&gt;=DB$6),0,AND(B85&gt;=DB$6,A85&gt;=Lookups!C$35),F85/VLOOKUP(A85,Lookups!C$37:D$67,2),B85&lt;Lookups!$C$35,0,B85&gt;=Lookups!C$35,F85/VLOOKUP(B85,Lookups!C$37:D$67,2))</f>
        <v>0</v>
      </c>
      <c r="BF85" s="1" cm="1">
        <f t="array" ref="BF85">_xlfn.IFS($BB85&lt;=0,0,AND(A85&gt;=DA$4,B85&gt;=DB$4,$BB85*I85&lt;(BD85+BE85)),0,AND(A85&gt;=DA$4,B85&gt;=DB$4,H85&gt;=(BB85*I85)-BD85-BE85),(BB85*I85)-BD85-BE85,AND(A85&gt;=DA$4,B85&gt;=DB$4,H85&lt;(BB85*I85)-BD85-BE85),H85,AND(A85&gt;=DA$4,$BB85*I85&lt;(BD85)),0,AND(A85&gt;=DA$4,H85&gt;=(BB85*I85)-BD85),(BB85*I85)-BD85,AND(A85&gt;=DA$4,H85&lt;(BB85*I85)-BD85),H85,AND(B85&gt;=DB$4,$BB85*I85&lt;(BE85)),0,AND(B85&gt;=DB$4,H85&gt;=(BB85*I85)-BE85),(BB85*I85)-BE85,AND(B85&gt;=DB$4,H85&lt;(BB85*I85)-BE85),H85)</f>
        <v>0</v>
      </c>
      <c r="BG85" s="1">
        <f t="shared" si="66"/>
        <v>0</v>
      </c>
      <c r="BH85" s="1" cm="1">
        <f t="array" ref="BH85">_xlfn.IFS(OR(D85=0,A85&lt;DA$4),0,AND(A85&gt;=DA$4,B85&gt;=DB$4,D85&lt;BD85+($BF85*(D85/$H85))+(-$BP85*(D85/$H85))),D85,AND(A85&gt;=DA$4,B85&gt;=DB$4,$BB85&gt;$BG85),BD85+($BF85*(D85/$H85))+(-$BP85*(D85/$H85)),AND(A85&gt;=DA$4,B85&gt;=DB$4,OR(A85&gt;DA$6, B85&gt;DB$6),$AP85-SUM($AW85,$AY85:$AZ85)&lt;0),BD85+($BF85*(D85/$H85))+(-$BP85*(D85/$H85))+(BP85*(D85/$H85)),AND(A85&gt;=DA$4,B85&gt;=DB$4,$AQ85-SUM($AW85,$AY85:$AZ85)&lt;0),BD85+($BF85*(D85/$H85))+(-$BP85*(D85/$H85))+(BP85*(D85/$H85)),AND(A85&gt;=DA$4,D85&lt;BD85+$BF85-$BP85),D85,AND(A85&gt;=DA$4,$AP85-SUM($AW85,$AY85:$AZ85)&lt;0),BD85+($BF85*(D85/$H85))+(-$BP85*(D85/$H85))+(BP85*(D85/$H85)),A85&gt;=DA$4,BD85+$BF85-$BP85)</f>
        <v>0</v>
      </c>
      <c r="BI85" s="1" cm="1">
        <f t="array" ref="BI85">_xlfn.IFS(OR(F85=0,B85&lt;DB$4),0,AND(A85&gt;=DA$4,B85&gt;=DB$4,F85&lt;BE85+($BF85*(F85/$H85))+(-$BP85*(F85/$H85))),F85,AND(A85&gt;=DA$4,B85&gt;=DB$4,$BB85&gt;$BG85),BE85+($BF85*(F85/$H85))+(-$BP85*(F85/$H85)),AND(A85&gt;=DA$4,B85&gt;=DB$4,OR(A85&gt;DA$6, B85&gt;DB$6),$AP85-SUM($AW85,$AY85:$AZ85)&lt;0),BE85+($BF85*(F85/$H85))+(-$BP85*(F85/$H85))+(BP85*(F85/$H85)),AND(A85&gt;=DA$4,B85&gt;=DB$4,$AQ85-SUM($AW85,$AY85:$AZ85)&lt;0),BE85+($BF85*(F85/$H85))+(-$BP85*(F85/$H85))+(BP85*(F85/$H85)),AND(B85&gt;=DB$4,F85&lt;BE85+$BF85-$BP85),F85,AND(B85&gt;=DB$4,$AP85-SUM($AW85,$AY85:$AZ85)&lt;0),BE85+($BF85*(F85/$H85))+(-$BP85*(F85/$H85))+(BP85*(F85/$H85)),B85&gt;=DB$4,BE85+$BF85-$BP85)</f>
        <v>0</v>
      </c>
      <c r="BJ85" s="64" cm="1">
        <f t="array" ref="BJ85">IF(AW85+BA85+BG85&gt;0, AW85+BA85+BG85-_xlfn.IFS(AND(A85&gt;=65,B85&gt;=65),VLOOKUP(Setup!I$4,Lookups!C$133:F$136,4),OR(A85&gt;=65,B85&gt;=65),VLOOKUP(Setup!I$4,Lookups!C$133:E$136,3),AND(A85&lt;65,B85&lt;65),VLOOKUP(Setup!I$4,Lookups!C$133:D$136,2)),0)</f>
        <v>0</v>
      </c>
      <c r="BK85" s="1" cm="1">
        <f t="array" ref="BK85">IF(BJ85&gt;0,_xlfn.IFS(Setup!I$4=Lookups!D$109,-_xlfn.IFS($BJ85&gt;=Lookups!D$157, Lookups!F$157+($BJ85-Lookups!D$157)*Lookups!G$157,$BJ85&gt;=Lookups!D$156, Lookups!F$156+($BJ85-Lookups!D$156)*Lookups!G$156,$BJ85&gt;=Lookups!D$155, Lookups!F$155+($BJ85-Lookups!D$155)*Lookups!G$155,$BJ85&gt;=Lookups!D$154, Lookups!F$154+($BJ85-Lookups!D$154)*Lookups!G$154,$BJ85&gt;=Lookups!D$153, Lookups!F$153+($BJ85-Lookups!D$153)*Lookups!G$153,$BJ85&gt;=Lookups!D$152, Lookups!F$152+($BJ85-Lookups!D$152)*Lookups!G$152,$BJ85&lt;Lookups!D$152,$BJ85*Lookups!G$151),Setup!I$4=Lookups!D$110,-_xlfn.IFS($BJ85&gt;=Lookups!D$167, Lookups!F$167+($BJ85-Lookups!D$167)*Lookups!G$167,$BJ85&gt;=Lookups!D$166, Lookups!F$166+($BJ85-Lookups!D$166)*Lookups!G$166,$BJ85&gt;=Lookups!D$165, Lookups!F$165+($BJ85-Lookups!D$165)*Lookups!G$165,$BJ85&gt;=Lookups!D$164, Lookups!F$164+($BJ85-Lookups!D$164)*Lookups!G$164,$BJ85&gt;=Lookups!D$163, Lookups!F$163+($BJ85-Lookups!D$163)*Lookups!G$163,$BJ85&gt;=Lookups!D$162, Lookups!F$162+($BJ85-Lookups!D$162)*Lookups!G$162,$BJ85&lt;Lookups!D$162,$BJ85*Lookups!G$161),Setup!I$4=Lookups!D$111,-_xlfn.IFS($BJ85&gt;=Lookups!D$177, Lookups!F$177+($BJ85-Lookups!D$177)*Lookups!G$177,$BJ85&gt;=Lookups!D$176, Lookups!F$176+($BJ85-Lookups!D$176)*Lookups!G$176,$BJ85&gt;=Lookups!D$175, Lookups!F$175+($BJ85-Lookups!D$175)*Lookups!G$175,$BJ85&gt;=Lookups!D$174, Lookups!F$174+($BJ85-Lookups!D$174)*Lookups!G$174,$BJ85&gt;=Lookups!D$173, Lookups!F$173+($BJ85-Lookups!D$173)*Lookups!G$173,$BJ85&gt;=Lookups!D$172, Lookups!F$172+($BJ85-Lookups!D$172)*Lookups!G$172,$BJ85&lt;Lookups!D$172,$BJ85*Lookups!G$171), Setup!I$4=Lookups!D$112,-_xlfn.IFS($BJ85&gt;=Lookups!D$187, Lookups!F$187+($BJ85-Lookups!D$187)*Lookups!G$187,$BJ85&gt;=Lookups!D$186, Lookups!F$186+($BJ85-Lookups!D$186)*Lookups!G$186,$BJ85&gt;=Lookups!D$185, Lookups!F$185+($BJ85-Lookups!D$185)*Lookups!G$185,$BJ85&gt;=Lookups!D$184, Lookups!F$184+($BJ85-Lookups!D$184)*Lookups!G$184,$BJ85&gt;=Lookups!D$183, Lookups!F$183+($BJ85-Lookups!D$183)*Lookups!G$183,$BJ85&gt;=Lookups!D$182, Lookups!F$182+($BJ85-Lookups!D$182)*Lookups!G$182,$BJ85&lt;Lookups!D$182,$BJ85*Lookups!G$181)),0)</f>
        <v>0</v>
      </c>
      <c r="BL85" s="18">
        <f t="shared" si="76"/>
        <v>0</v>
      </c>
      <c r="BM85" s="134">
        <f t="shared" si="67"/>
        <v>0</v>
      </c>
      <c r="BN85" s="134" cm="1">
        <f t="array" aca="1" ref="BN85" ca="1">INDIRECT(Setup!I$6&amp;"!"&amp;"A"&amp;ROW())</f>
        <v>0</v>
      </c>
      <c r="BO85" s="134">
        <f t="shared" si="84"/>
        <v>0</v>
      </c>
      <c r="BP85" s="1">
        <f t="shared" si="77"/>
        <v>0</v>
      </c>
      <c r="BQ85" s="1">
        <f t="shared" si="85"/>
        <v>0</v>
      </c>
      <c r="BS85" s="1">
        <f t="shared" si="86"/>
        <v>0</v>
      </c>
      <c r="BT85" s="1" cm="1">
        <f t="array" ref="BT85">-IF(BS85&gt;0,_xlfn.IFS((AW85+BA85+BG85+BS85)&gt;=VLOOKUP(Setup!I$4,Lookups!C$210:E$213,3),BS85*Lookups!D$203,(AW85+BA85+BG85+BS85)&gt;=VLOOKUP(Setup!I$4,Lookups!C$210:E$213,2),BS85*Lookups!D$197,(AW85+BA85+BG85+BS85)&lt;VLOOKUP(Setup!I$4,Lookups!C$210:E$213,2),0),0)</f>
        <v>0</v>
      </c>
      <c r="BU85" s="18">
        <f t="shared" si="87"/>
        <v>0</v>
      </c>
      <c r="BV85" s="1">
        <f t="shared" si="88"/>
        <v>0</v>
      </c>
      <c r="BW85" s="1" cm="1">
        <f t="array" aca="1" ref="BW85" ca="1">INDIRECT(Setup!I$6&amp;"!"&amp;"A"&amp;ROW()+100)</f>
        <v>0</v>
      </c>
      <c r="BX85" s="1">
        <f t="shared" ca="1" si="78"/>
        <v>0</v>
      </c>
      <c r="BY85" s="1">
        <f t="shared" ca="1" si="79"/>
        <v>0</v>
      </c>
      <c r="CA85" s="1">
        <f t="shared" si="91"/>
        <v>0</v>
      </c>
      <c r="CC85" s="1" cm="1">
        <f t="array" ref="CC85">_xlfn.IFS(AND(A85&lt;$DA$4,B85&lt;$DB$4),0,AND(AND(A85&gt;=$DA$4,B85&gt;=$DB$4),AND(A85&lt;=$DA$6,B85&lt;=$DB$6),AND(BH85=0,BI85=0)),SUM(AW85,AY85:AZ85,BD85:BF85,BP85,BS85,CA85)-AQ85,AND(AND(A85&gt;=$DA$4,B85&gt;=$DB$4),AND(A85&lt;=$DA$6,B85&lt;=$DB$6)),SUM(AW85,AY85:AZ85,BD85:BF85,BS85,CA85)-AQ85,AND(OR(A85&gt;=$DA$4,B85&gt;=$DB$4),AND(BH85=0,BI85=0)),SUM(AW85,AY85:AZ85,BD85:BF85,BP85,BS85,CA85)-AP85,OR(A85&gt;=$DA$4,B85&gt;=$DB$4),SUM(AW85,AY85:AZ85,BD85:BF85,BS85,CA85)-AP85)</f>
        <v>0</v>
      </c>
      <c r="CD85" s="142" t="str">
        <f t="shared" si="89"/>
        <v/>
      </c>
    </row>
    <row r="86" spans="1:82" x14ac:dyDescent="0.3">
      <c r="A86" s="354">
        <f t="shared" si="68"/>
        <v>79</v>
      </c>
      <c r="B86" s="354">
        <f t="shared" si="69"/>
        <v>79</v>
      </c>
      <c r="C86" s="359">
        <f t="shared" si="90"/>
        <v>28856</v>
      </c>
      <c r="D86" s="326" cm="1">
        <f t="array" ref="D86">_xlfn.IFS(AND(A86&gt;DA$6,B86&gt;DB$6),0,AND(A86&gt;DA$3,A86&lt;=DA$4),D85*(1+DH$1),OR(A86&gt;DA$6,A86&gt;DA$4),(D85-BH85)*(1+DH$2),A86&lt;=DA$4,(D85*(1+DH$1))+(D$4))</f>
        <v>0</v>
      </c>
      <c r="E86" s="375"/>
      <c r="F86" s="326" cm="1">
        <f t="array" ref="F86">_xlfn.IFS(AND(A86&gt;DA$6,B86&gt;DB$6),0,AND(B86&gt;DB$3,B86&lt;=DB$4),F85*(1+DH$1),OR(B86&gt;DB$6,B86&gt;DB$4),(F85-BI85)*(1+DH$2),B86&lt;=DB$4,(F85*(1+DH$1))+(F$4))</f>
        <v>0</v>
      </c>
      <c r="G86" s="375"/>
      <c r="H86" s="1">
        <f t="shared" si="93"/>
        <v>0</v>
      </c>
      <c r="I86" s="2">
        <f t="shared" si="70"/>
        <v>0</v>
      </c>
      <c r="J86" s="14">
        <f t="shared" si="94"/>
        <v>0</v>
      </c>
      <c r="L86" s="402" cm="1">
        <f t="array" ref="L86">_xlfn.IFS(AND(A86&gt;DA$6,B86&gt;DB$6),0,A86&lt;DA$6,0,A86=DA$6,L$4,AND(A86&gt;DA$6,B86&lt;=DB$4),L85*(1+DH$1),AND(A86&gt;DA$6,B86&gt;DB$4),IF(Y85=0,0,(L85-((L85/Y85)*BY85))*(1+DH$2)))</f>
        <v>0</v>
      </c>
      <c r="M86" s="402" cm="1">
        <f t="array" ref="M86">_xlfn.IFS(AND(A86&gt;DA$6,B86&gt;DB$6),0,B86&lt;DB$6,0,B86=DB$6,M$4,AND(B86&gt;DB$6,A86&lt;=DA$4),M85*(1+DH$1),AND(A86&gt;DA$4,B86&gt;DB$6),IF(Y85=0,0,(M85-((M85/Y85)*BY85))*(1+DH$2)))</f>
        <v>0</v>
      </c>
      <c r="N86" s="327"/>
      <c r="O86" s="327" cm="1">
        <f t="array" ref="O86">_xlfn.IFS(OR(ISBLANK(Setup!C$63),Setup!C$63&gt;YEAR(C86),AND(A86&gt;DA$6,B86&gt;DB$6),ISBLANK(Y85)),0,Setup!C$63=YEAR(C86),Setup!C$62,AND(OR(A86&lt;=DA$4,B86&lt;=DB$4),Setup!C$63&lt;YEAR(C86)),O85*(1+DH$1),AND(A86&gt;DA$4,B86&gt;DB$4,Setup!C$63&lt;YEAR(C86)),IF(Y85=0,0,(O85-((O85/Y85)*BY85))*(1+DH$2)))</f>
        <v>0</v>
      </c>
      <c r="P86" s="327" cm="1">
        <f t="array" ref="P86">_xlfn.IFS(OR(ISBLANK(Setup!C$67),Setup!C$67&gt;YEAR(C86),AND(A86&gt;DA$6,B86&gt;DB$6)),0,Setup!C$67=YEAR(C86),Setup!C$66,AND(OR(A86&lt;=DA$4,B86&lt;=DB$4),Setup!C$67&lt;YEAR(C86)),P85*(1+DH$1),AND(A86&gt;DA$4,B86&gt;DB$4,Setup!C$67&lt;YEAR(C86)),IF(Y85=0,0,(P85-((P85/Y85)*BY85))*(1+DH$2)))</f>
        <v>0</v>
      </c>
      <c r="Q86" s="327" cm="1">
        <f t="array" ref="Q86">_xlfn.IFS(OR(ISBLANK(Setup!C$71),Setup!C$71&gt;YEAR(C86),AND(A86&gt;DA$6,B86&gt;DB$6)),0,Setup!C$71=YEAR(C86),Setup!C$70,AND(OR(A86&lt;=DA$4,B86&lt;=DB$4),Setup!C$71&lt;YEAR(C86)),Q85*(1+DH$1),AND(A86&gt;DA$4,B86&gt;DB$4,Setup!C$71&lt;YEAR(C86)),IF(Y85=0,0,(Q85-((Q85/Y85)*BY85))*(1+DH$2)))</f>
        <v>0</v>
      </c>
      <c r="R86" s="327" cm="1">
        <f t="array" ref="R86">_xlfn.IFS(OR(ISBLANK(Setup!C$75),Setup!C$75&gt;YEAR(C86),AND(A86&gt;DA$6,B86&gt;DB$6)),0,Setup!C$75=YEAR(C86),Setup!C$74,AND(OR(A86&lt;=DA$4,B86&lt;=DB$4),Setup!C$75&lt;YEAR(C86)),R85*(1+DH$1),AND(A86&gt;DA$4,B86&gt;DB$4,Setup!C$75&lt;YEAR(C86)),IF(Y85=0,0,(R85-((R85/Y85)*BY85))*(1+DH$2)))</f>
        <v>0</v>
      </c>
      <c r="S86" s="327"/>
      <c r="T86" s="326" cm="1">
        <f t="array" ref="T86">_xlfn.IFS(AND($A86&gt;$DA$6,$B86&gt;$DB$6),0,AND($W$2=$DA$2,$A86&gt;$DA$4),IF($Y85=0,0,(T85-((T85/$Y85)*$BY85))*(1+$DH$2)),AND($W$2=$DB$2,$B86&gt;$DB$4),IF($Y85=0,0,(T85-((T85/$Y85)*$BY85))*(1+$DH$2)),AND($W$2=$DA$2,OR($A86&gt;$DA$3,$A86&gt;$DA$6)),(T85*(1+$DH$1)),AND($W$2=$DB$2,OR($B86&gt;$DB$3,$B86&gt;$DB$6)),(T85*(1+$DH$1)),AND($W$2=$DA$2,$A86&lt;=$DA$3,$A86&lt;=$DA$4,$A86&lt;=$DA$5),(T85*(1+$DH$1))+(T$4),AND($W$2=$DB$2,$B86&lt;=$DB$3,$B86&lt;=$DB$4,$B86&lt;=$DB$5),(T85*(1+$DH$1))+(T$4))</f>
        <v>0</v>
      </c>
      <c r="U86" s="326" cm="1">
        <f t="array" ref="U86">_xlfn.IFS(AND($A86&gt;$DA$6,$B86&gt;$DB$6),0,AND($W$2=$DA$2,$A86&gt;$DA$4),IF($Y85=0,0,(U85-((U85/$Y85)*$BY85))*(1+$DH$2)),AND($W$2=$DB$2,$B86&gt;$DB$4),IF($Y85=0,0,(U85-((U85/$Y85)*$BY85))*(1+$DH$2)),AND($W$2=$DA$2,OR($A86&gt;$DA$3,$A86&gt;$DA$6)),(U85*(1+$DH$1)),AND($W$2=$DB$2,OR($B86&gt;$DB$3,$B86&gt;$DB$6)),(U85*(1+$DH$1)),AND($W$2=$DA$2,$A86&lt;=$DA$3,$A86&lt;=$DA$4,$A86&lt;=$DA$5),(U85*(1+$DH$1))+(U$4),AND($W$2=$DB$2,$B86&lt;=$DB$3,$B86&lt;=$DB$4,$B86&lt;=$DB$5),(U85*(1+$DH$1))+(U$4))</f>
        <v>0</v>
      </c>
      <c r="V86" s="326" cm="1">
        <f t="array" ref="V86">_xlfn.IFS(AND($A86&gt;$DA$6,$B86&gt;$DB$6),0,AND($W$2=$DA$2,$A86&gt;$DA$4),IF($Y85=0,0,(V85-((V85/$Y85)*$BY85))*(1+$DH$2)),AND($W$2=$DB$2,$B86&gt;$DB$4),IF($Y85=0,0,(V85-((V85/$Y85)*$BY85))*(1+$DH$2)),AND($W$2=$DA$2,OR($A86&gt;$DA$3,$A86&gt;$DA$6)),(V85*(1+$DH$1)),AND($W$2=$DB$2,OR($B86&gt;$DB$3,$B86&gt;$DB$6)),(V85*(1+$DH$1)),AND($W$2=$DA$2,$A86&lt;=$DA$3,$A86&lt;=$DA$4,$A86&lt;=$DA$5),(V85*(1+$DH$1))+(V$4),AND($W$2=$DB$2,$B86&lt;=$DB$3,$B86&lt;=$DB$4,$B86&lt;=$DB$5),(V85*(1+$DH$1))+(V$4))</f>
        <v>0</v>
      </c>
      <c r="W86" s="326" cm="1">
        <f t="array" ref="W86">_xlfn.IFS(AND($A86&gt;$DA$6,$B86&gt;$DB$6),0,AND($W$2=$DA$2,$A86&gt;$DA$4),IF($Y85=0,0,(W85-((W85/$Y85)*$BY85))*(1+$DH$2)),AND($W$2=$DB$2,$B86&gt;$DB$4),IF($Y85=0,0,(W85-((W85/$Y85)*$BY85))*(1+$DH$2)),AND($W$2=$DA$2,OR($A86&gt;$DA$3,$A86&gt;$DA$6)),(W85*(1+$DH$1)),AND($W$2=$DB$2,OR($B86&gt;$DB$3,$B86&gt;$DB$6)),(W85*(1+$DH$1)),AND($W$2=$DA$2,$A86&lt;=$DA$3,$A86&lt;=$DA$4,$A86&lt;=$DA$5),(W85*(1+$DH$1))+(W$4),AND($W$2=$DB$2,$B86&lt;=$DB$3,$B86&lt;=$DB$4,$B86&lt;=$DB$5),(W85*(1+$DH$1))+(W$4))</f>
        <v>0</v>
      </c>
      <c r="Y86" s="1">
        <f t="shared" si="80"/>
        <v>0</v>
      </c>
      <c r="Z86" s="2">
        <f t="shared" si="71"/>
        <v>0</v>
      </c>
      <c r="AA86" s="375"/>
      <c r="AC86" s="326" cm="1">
        <f t="array" ref="AC86">_xlfn.IFS(AND(A86&gt;DA$6,B86&gt;DB$6),0,AND(A86&gt;DA$4,B86&gt;DB$4),IF(AG85=0,0,(AC85-((AC85/AG85)*CA85))*(1+DH$2)),OR(A86&gt;DA$3,A86&gt;DA$6),AC85*(1+DH$1),A86&gt;DA$4,(AC85-CA85)*(1+DH$2),AND(A86&lt;=DA$3,A86&lt;=DA$4,A86&lt;=DA$6),(AC85*(1+DH$1))+(AC$4))</f>
        <v>0</v>
      </c>
      <c r="AD86" s="375"/>
      <c r="AE86" s="326" cm="1">
        <f t="array" ref="AE86">_xlfn.IFS(AND(A86&gt;DA$6,B86&gt;DB$6),0,AND(A86&gt;DA$4,B86&gt;DB$4),IF(AG85=0,0,(AE85-((AE85/AG85)*CA85))*(1+DH$2)),OR(B86&gt;DB$3,B86&gt;DB$6),AE85*(1+DH$1),B86&gt;DB$4,(AE85-CA85)*(1+DH$2),AND(B86&lt;=DB$3,B86&lt;=DB$4,B86&lt;=DB$6),(AE85*(1+DH$1))+(AE$4))</f>
        <v>0</v>
      </c>
      <c r="AF86" s="375"/>
      <c r="AG86" s="1">
        <f t="shared" si="92"/>
        <v>0</v>
      </c>
      <c r="AH86" s="2">
        <f t="shared" si="81"/>
        <v>0</v>
      </c>
      <c r="AI86" s="14">
        <f t="shared" si="72"/>
        <v>0</v>
      </c>
      <c r="AK86" s="1">
        <f t="shared" si="82"/>
        <v>0</v>
      </c>
      <c r="AL86" s="14">
        <f t="shared" si="73"/>
        <v>0</v>
      </c>
      <c r="AM86" s="14" t="str">
        <f t="shared" si="83"/>
        <v/>
      </c>
      <c r="AO86" s="15">
        <f t="shared" si="74"/>
        <v>0</v>
      </c>
      <c r="AP86" s="1">
        <f>IF(AND(B86&gt;=$DB$6,A86&gt;=$DA$6),0,AP85*(1+Lookups!C$12))</f>
        <v>0</v>
      </c>
      <c r="AQ86" s="1">
        <f>IF(AND(B86&gt;=$DB$6,A86&gt;=$DA$6),0,AQ85*(1+Lookups!C$12))</f>
        <v>0</v>
      </c>
      <c r="AS86" s="1" cm="1">
        <f t="array" ref="AS86">_xlfn.IFS(OR(AS$6="",AND(A86&gt;=DA$6,B86&gt;=DB$6),AND(A86&lt;DA$4,B86&lt;DB$4)),0,AND(A86=DA$4,DA$4&lt;=DB$4),AS$6,AND(B86=DB$4,DA$4&gt;=DB$4),AS$6,OR(A86&gt;DA$4,B86&gt;DB$4),AS85*(1+Setup!C$103))</f>
        <v>0</v>
      </c>
      <c r="AT86" s="1" cm="1">
        <f t="array" ref="AT86">_xlfn.IFS(OR(AT$6="",AND(A86&gt;=DA$6,B86&gt;=DB$6),AND(A86&lt;DA$4,B86&lt;DB$4)),0,AND(A86=DA$4,DA$4&lt;=DB$4),AT$6,AND(B86=DB$4,DA$4&gt;=DB$4),AT$6,OR(A86&gt;DA$4,B86&gt;DB$4),AT85*(1+Setup!C$103))</f>
        <v>0</v>
      </c>
      <c r="AU86" s="1" cm="1">
        <f t="array" ref="AU86">_xlfn.IFS(OR(AU$6="",AND(A86&gt;=DA$6,B86&gt;=DB$6),AND(A86&lt;DA$4,B86&lt;DB$4)),0,AND(A86=DA$4,DA$4&lt;=DB$4),AU$6,AND(B86=DB$4,DA$4&gt;=DB$4),AU$6,OR(A86&gt;DA$4,B86&gt;DB$4),AU85*(1+Setup!C$103))</f>
        <v>0</v>
      </c>
      <c r="AV86" s="1" cm="1">
        <f t="array" ref="AV86">_xlfn.IFS(OR(AV$6="",AND(A86&gt;=DA$6,B86&gt;=DB$6),AND(A86&lt;DA$4,B86&lt;DB$4)),0,AND(A86=DA$4,DA$4&lt;=DB$4),AV$6,AND(B86=DB$4,DA$4&gt;=DB$4),AV$6,OR(A86&gt;DA$4,B86&gt;DB$4),AV85*(1+Setup!C$103))</f>
        <v>0</v>
      </c>
      <c r="AW86" s="1">
        <f t="shared" si="75"/>
        <v>0</v>
      </c>
      <c r="AY86" s="1" cm="1">
        <f t="array" ref="AY86">_xlfn.IFS(OR(AND(A86&gt;=DA$6,B86&gt;=DB$6),A86&lt;DA$5),0,AND(A86=DA$5,YEAR(C86)&gt;=Lookups!D$89),VLOOKUP(A86,Lookups!B$94:F$102,3),AND(A86=DA$5,YEAR(C86)&lt;Lookups!D$89),VLOOKUP(A86,Lookups!B$94:F$102,2),AND(A86&gt;DA$5,YEAR(C86)=Lookups!D$89),(AY85*Lookups!D$90)*(1+Lookups!C$20),AND(A86&gt;DA$5,YEAR(C86)&lt;&gt;Lookups!D$89),AY85*(1+Lookups!C$20))</f>
        <v>0</v>
      </c>
      <c r="AZ86" s="1" cm="1">
        <f t="array" ref="AZ86">_xlfn.IFS(OR(ISBLANK(Setup!K$91),Setup!K$91=0,AND(A86&gt;=DA$6,B86&gt;=DB$6),B86&lt;DB$5),0,AND(B86=DB$5,YEAR(C86)&gt;=Lookups!D$89),VLOOKUP(B86,Lookups!B$94:F$102,5),AND(B86=DB$5,YEAR(C86)&lt;Lookups!D$89),VLOOKUP(B86,Lookups!B$94:F$102,4),AND(B86&gt;DB$5,YEAR(C86)=Lookups!D$89),(AZ85*Lookups!D$90)*(1+Lookups!C$20),AND(B86&gt;DB$5,YEAR(C86)&lt;&gt;Lookups!D$89),AZ85*(1+Lookups!C$20))</f>
        <v>0</v>
      </c>
      <c r="BA86" s="65">
        <f>IF(OR(AY86&gt;0,AZ86&gt;0),(AY86+AZ86)*Lookups!D$120,0)</f>
        <v>0</v>
      </c>
      <c r="BB86" s="1" cm="1">
        <f t="array" ref="BB86">_xlfn.IFS(AND(A86&lt;DA$4,B86&lt;DB$4),0,OR(_xlfn.XOR(A86&gt;DA$6,B86&gt;DB$6),_xlfn.XOR(A86&gt;=DA$4,B86&gt;=DB$4)),IF(AP86-SUM(AW86,AY86:AZ86)&gt;0,AP86-SUM(AW86,AY86:AZ86),0),AQ86-SUM(AW86,AY86:AZ86)&gt;0, AQ86-SUM(AW86,AY86:AZ86),AQ86-SUM(AW86,AY86:AZ86)&lt;=0,0)</f>
        <v>0</v>
      </c>
      <c r="BD86" s="1" cm="1">
        <f t="array" ref="BD86">_xlfn.IFS(AND(A86&gt;=DA$6,B86&gt;=DB$6),0,AND(A86&gt;=DA$6,B86&gt;=Lookups!C$35),D86/VLOOKUP(B86,Lookups!C$37:D$67,2),A86&lt;Lookups!$C$35,0,A86&gt;=Lookups!C$35,D86/VLOOKUP(A86,Lookups!C$37:D$67,2))</f>
        <v>0</v>
      </c>
      <c r="BE86" s="1" cm="1">
        <f t="array" ref="BE86">_xlfn.IFS(AND(A86&gt;=DA$6,B86&gt;=DB$6),0,AND(B86&gt;=DB$6,A86&gt;=Lookups!C$35),F86/VLOOKUP(A86,Lookups!C$37:D$67,2),B86&lt;Lookups!$C$35,0,B86&gt;=Lookups!C$35,F86/VLOOKUP(B86,Lookups!C$37:D$67,2))</f>
        <v>0</v>
      </c>
      <c r="BF86" s="1" cm="1">
        <f t="array" ref="BF86">_xlfn.IFS($BB86&lt;=0,0,AND(A86&gt;=DA$4,B86&gt;=DB$4,$BB86*I86&lt;(BD86+BE86)),0,AND(A86&gt;=DA$4,B86&gt;=DB$4,H86&gt;=(BB86*I86)-BD86-BE86),(BB86*I86)-BD86-BE86,AND(A86&gt;=DA$4,B86&gt;=DB$4,H86&lt;(BB86*I86)-BD86-BE86),H86,AND(A86&gt;=DA$4,$BB86*I86&lt;(BD86)),0,AND(A86&gt;=DA$4,H86&gt;=(BB86*I86)-BD86),(BB86*I86)-BD86,AND(A86&gt;=DA$4,H86&lt;(BB86*I86)-BD86),H86,AND(B86&gt;=DB$4,$BB86*I86&lt;(BE86)),0,AND(B86&gt;=DB$4,H86&gt;=(BB86*I86)-BE86),(BB86*I86)-BE86,AND(B86&gt;=DB$4,H86&lt;(BB86*I86)-BE86),H86)</f>
        <v>0</v>
      </c>
      <c r="BG86" s="1">
        <f t="shared" si="66"/>
        <v>0</v>
      </c>
      <c r="BH86" s="1" cm="1">
        <f t="array" ref="BH86">_xlfn.IFS(OR(D86=0,A86&lt;DA$4),0,AND(A86&gt;=DA$4,B86&gt;=DB$4,D86&lt;BD86+($BF86*(D86/$H86))+(-$BP86*(D86/$H86))),D86,AND(A86&gt;=DA$4,B86&gt;=DB$4,$BB86&gt;$BG86),BD86+($BF86*(D86/$H86))+(-$BP86*(D86/$H86)),AND(A86&gt;=DA$4,B86&gt;=DB$4,OR(A86&gt;DA$6, B86&gt;DB$6),$AP86-SUM($AW86,$AY86:$AZ86)&lt;0),BD86+($BF86*(D86/$H86))+(-$BP86*(D86/$H86))+(BP86*(D86/$H86)),AND(A86&gt;=DA$4,B86&gt;=DB$4,$AQ86-SUM($AW86,$AY86:$AZ86)&lt;0),BD86+($BF86*(D86/$H86))+(-$BP86*(D86/$H86))+(BP86*(D86/$H86)),AND(A86&gt;=DA$4,D86&lt;BD86+$BF86-$BP86),D86,AND(A86&gt;=DA$4,$AP86-SUM($AW86,$AY86:$AZ86)&lt;0),BD86+($BF86*(D86/$H86))+(-$BP86*(D86/$H86))+(BP86*(D86/$H86)),A86&gt;=DA$4,BD86+$BF86-$BP86)</f>
        <v>0</v>
      </c>
      <c r="BI86" s="1" cm="1">
        <f t="array" ref="BI86">_xlfn.IFS(OR(F86=0,B86&lt;DB$4),0,AND(A86&gt;=DA$4,B86&gt;=DB$4,F86&lt;BE86+($BF86*(F86/$H86))+(-$BP86*(F86/$H86))),F86,AND(A86&gt;=DA$4,B86&gt;=DB$4,$BB86&gt;$BG86),BE86+($BF86*(F86/$H86))+(-$BP86*(F86/$H86)),AND(A86&gt;=DA$4,B86&gt;=DB$4,OR(A86&gt;DA$6, B86&gt;DB$6),$AP86-SUM($AW86,$AY86:$AZ86)&lt;0),BE86+($BF86*(F86/$H86))+(-$BP86*(F86/$H86))+(BP86*(F86/$H86)),AND(A86&gt;=DA$4,B86&gt;=DB$4,$AQ86-SUM($AW86,$AY86:$AZ86)&lt;0),BE86+($BF86*(F86/$H86))+(-$BP86*(F86/$H86))+(BP86*(F86/$H86)),AND(B86&gt;=DB$4,F86&lt;BE86+$BF86-$BP86),F86,AND(B86&gt;=DB$4,$AP86-SUM($AW86,$AY86:$AZ86)&lt;0),BE86+($BF86*(F86/$H86))+(-$BP86*(F86/$H86))+(BP86*(F86/$H86)),B86&gt;=DB$4,BE86+$BF86-$BP86)</f>
        <v>0</v>
      </c>
      <c r="BJ86" s="64" cm="1">
        <f t="array" ref="BJ86">IF(AW86+BA86+BG86&gt;0, AW86+BA86+BG86-_xlfn.IFS(AND(A86&gt;=65,B86&gt;=65),VLOOKUP(Setup!I$4,Lookups!C$133:F$136,4),OR(A86&gt;=65,B86&gt;=65),VLOOKUP(Setup!I$4,Lookups!C$133:E$136,3),AND(A86&lt;65,B86&lt;65),VLOOKUP(Setup!I$4,Lookups!C$133:D$136,2)),0)</f>
        <v>0</v>
      </c>
      <c r="BK86" s="1" cm="1">
        <f t="array" ref="BK86">IF(BJ86&gt;0,_xlfn.IFS(Setup!I$4=Lookups!D$109,-_xlfn.IFS($BJ86&gt;=Lookups!D$157, Lookups!F$157+($BJ86-Lookups!D$157)*Lookups!G$157,$BJ86&gt;=Lookups!D$156, Lookups!F$156+($BJ86-Lookups!D$156)*Lookups!G$156,$BJ86&gt;=Lookups!D$155, Lookups!F$155+($BJ86-Lookups!D$155)*Lookups!G$155,$BJ86&gt;=Lookups!D$154, Lookups!F$154+($BJ86-Lookups!D$154)*Lookups!G$154,$BJ86&gt;=Lookups!D$153, Lookups!F$153+($BJ86-Lookups!D$153)*Lookups!G$153,$BJ86&gt;=Lookups!D$152, Lookups!F$152+($BJ86-Lookups!D$152)*Lookups!G$152,$BJ86&lt;Lookups!D$152,$BJ86*Lookups!G$151),Setup!I$4=Lookups!D$110,-_xlfn.IFS($BJ86&gt;=Lookups!D$167, Lookups!F$167+($BJ86-Lookups!D$167)*Lookups!G$167,$BJ86&gt;=Lookups!D$166, Lookups!F$166+($BJ86-Lookups!D$166)*Lookups!G$166,$BJ86&gt;=Lookups!D$165, Lookups!F$165+($BJ86-Lookups!D$165)*Lookups!G$165,$BJ86&gt;=Lookups!D$164, Lookups!F$164+($BJ86-Lookups!D$164)*Lookups!G$164,$BJ86&gt;=Lookups!D$163, Lookups!F$163+($BJ86-Lookups!D$163)*Lookups!G$163,$BJ86&gt;=Lookups!D$162, Lookups!F$162+($BJ86-Lookups!D$162)*Lookups!G$162,$BJ86&lt;Lookups!D$162,$BJ86*Lookups!G$161),Setup!I$4=Lookups!D$111,-_xlfn.IFS($BJ86&gt;=Lookups!D$177, Lookups!F$177+($BJ86-Lookups!D$177)*Lookups!G$177,$BJ86&gt;=Lookups!D$176, Lookups!F$176+($BJ86-Lookups!D$176)*Lookups!G$176,$BJ86&gt;=Lookups!D$175, Lookups!F$175+($BJ86-Lookups!D$175)*Lookups!G$175,$BJ86&gt;=Lookups!D$174, Lookups!F$174+($BJ86-Lookups!D$174)*Lookups!G$174,$BJ86&gt;=Lookups!D$173, Lookups!F$173+($BJ86-Lookups!D$173)*Lookups!G$173,$BJ86&gt;=Lookups!D$172, Lookups!F$172+($BJ86-Lookups!D$172)*Lookups!G$172,$BJ86&lt;Lookups!D$172,$BJ86*Lookups!G$171), Setup!I$4=Lookups!D$112,-_xlfn.IFS($BJ86&gt;=Lookups!D$187, Lookups!F$187+($BJ86-Lookups!D$187)*Lookups!G$187,$BJ86&gt;=Lookups!D$186, Lookups!F$186+($BJ86-Lookups!D$186)*Lookups!G$186,$BJ86&gt;=Lookups!D$185, Lookups!F$185+($BJ86-Lookups!D$185)*Lookups!G$185,$BJ86&gt;=Lookups!D$184, Lookups!F$184+($BJ86-Lookups!D$184)*Lookups!G$184,$BJ86&gt;=Lookups!D$183, Lookups!F$183+($BJ86-Lookups!D$183)*Lookups!G$183,$BJ86&gt;=Lookups!D$182, Lookups!F$182+($BJ86-Lookups!D$182)*Lookups!G$182,$BJ86&lt;Lookups!D$182,$BJ86*Lookups!G$181)),0)</f>
        <v>0</v>
      </c>
      <c r="BL86" s="18">
        <f t="shared" si="76"/>
        <v>0</v>
      </c>
      <c r="BM86" s="134">
        <f t="shared" si="67"/>
        <v>0</v>
      </c>
      <c r="BN86" s="134" cm="1">
        <f t="array" aca="1" ref="BN86" ca="1">INDIRECT(Setup!I$6&amp;"!"&amp;"A"&amp;ROW())</f>
        <v>0</v>
      </c>
      <c r="BO86" s="134">
        <f t="shared" si="84"/>
        <v>0</v>
      </c>
      <c r="BP86" s="1">
        <f t="shared" si="77"/>
        <v>0</v>
      </c>
      <c r="BQ86" s="1">
        <f t="shared" si="85"/>
        <v>0</v>
      </c>
      <c r="BS86" s="1">
        <f t="shared" si="86"/>
        <v>0</v>
      </c>
      <c r="BT86" s="1" cm="1">
        <f t="array" ref="BT86">-IF(BS86&gt;0,_xlfn.IFS((AW86+BA86+BG86+BS86)&gt;=VLOOKUP(Setup!I$4,Lookups!C$210:E$213,3),BS86*Lookups!D$203,(AW86+BA86+BG86+BS86)&gt;=VLOOKUP(Setup!I$4,Lookups!C$210:E$213,2),BS86*Lookups!D$197,(AW86+BA86+BG86+BS86)&lt;VLOOKUP(Setup!I$4,Lookups!C$210:E$213,2),0),0)</f>
        <v>0</v>
      </c>
      <c r="BU86" s="18">
        <f t="shared" si="87"/>
        <v>0</v>
      </c>
      <c r="BV86" s="1">
        <f t="shared" si="88"/>
        <v>0</v>
      </c>
      <c r="BW86" s="1" cm="1">
        <f t="array" aca="1" ref="BW86" ca="1">INDIRECT(Setup!I$6&amp;"!"&amp;"A"&amp;ROW()+100)</f>
        <v>0</v>
      </c>
      <c r="BX86" s="1">
        <f t="shared" ca="1" si="78"/>
        <v>0</v>
      </c>
      <c r="BY86" s="1">
        <f t="shared" ca="1" si="79"/>
        <v>0</v>
      </c>
      <c r="CA86" s="1">
        <f t="shared" si="91"/>
        <v>0</v>
      </c>
      <c r="CC86" s="1" cm="1">
        <f t="array" ref="CC86">_xlfn.IFS(AND(A86&lt;$DA$4,B86&lt;$DB$4),0,AND(AND(A86&gt;=$DA$4,B86&gt;=$DB$4),AND(A86&lt;=$DA$6,B86&lt;=$DB$6),AND(BH86=0,BI86=0)),SUM(AW86,AY86:AZ86,BD86:BF86,BP86,BS86,CA86)-AQ86,AND(AND(A86&gt;=$DA$4,B86&gt;=$DB$4),AND(A86&lt;=$DA$6,B86&lt;=$DB$6)),SUM(AW86,AY86:AZ86,BD86:BF86,BS86,CA86)-AQ86,AND(OR(A86&gt;=$DA$4,B86&gt;=$DB$4),AND(BH86=0,BI86=0)),SUM(AW86,AY86:AZ86,BD86:BF86,BP86,BS86,CA86)-AP86,OR(A86&gt;=$DA$4,B86&gt;=$DB$4),SUM(AW86,AY86:AZ86,BD86:BF86,BS86,CA86)-AP86)</f>
        <v>0</v>
      </c>
      <c r="CD86" s="142" t="str">
        <f t="shared" si="89"/>
        <v/>
      </c>
    </row>
    <row r="87" spans="1:82" x14ac:dyDescent="0.3">
      <c r="A87" s="354">
        <f t="shared" si="68"/>
        <v>80</v>
      </c>
      <c r="B87" s="354">
        <f t="shared" si="69"/>
        <v>80</v>
      </c>
      <c r="C87" s="359">
        <f t="shared" si="90"/>
        <v>29221</v>
      </c>
      <c r="D87" s="326" cm="1">
        <f t="array" ref="D87">_xlfn.IFS(AND(A87&gt;DA$6,B87&gt;DB$6),0,AND(A87&gt;DA$3,A87&lt;=DA$4),D86*(1+DH$1),OR(A87&gt;DA$6,A87&gt;DA$4),(D86-BH86)*(1+DH$2),A87&lt;=DA$4,(D86*(1+DH$1))+(D$4))</f>
        <v>0</v>
      </c>
      <c r="E87" s="375"/>
      <c r="F87" s="326" cm="1">
        <f t="array" ref="F87">_xlfn.IFS(AND(A87&gt;DA$6,B87&gt;DB$6),0,AND(B87&gt;DB$3,B87&lt;=DB$4),F86*(1+DH$1),OR(B87&gt;DB$6,B87&gt;DB$4),(F86-BI86)*(1+DH$2),B87&lt;=DB$4,(F86*(1+DH$1))+(F$4))</f>
        <v>0</v>
      </c>
      <c r="G87" s="375"/>
      <c r="H87" s="1">
        <f t="shared" ref="H87:H92" si="95">SUM(D87,F87)</f>
        <v>0</v>
      </c>
      <c r="I87" s="2">
        <f t="shared" si="70"/>
        <v>0</v>
      </c>
      <c r="J87" s="14">
        <f t="shared" ref="J87:J92" si="96">SUM(E87,G87)</f>
        <v>0</v>
      </c>
      <c r="L87" s="402" cm="1">
        <f t="array" ref="L87">_xlfn.IFS(AND(A87&gt;DA$6,B87&gt;DB$6),0,A87&lt;DA$6,0,A87=DA$6,L$4,AND(A87&gt;DA$6,B87&lt;=DB$4),L86*(1+DH$1),AND(A87&gt;DA$6,B87&gt;DB$4),IF(Y86=0,0,(L86-((L86/Y86)*BY86))*(1+DH$2)))</f>
        <v>0</v>
      </c>
      <c r="M87" s="402" cm="1">
        <f t="array" ref="M87">_xlfn.IFS(AND(A87&gt;DA$6,B87&gt;DB$6),0,B87&lt;DB$6,0,B87=DB$6,M$4,AND(B87&gt;DB$6,A87&lt;=DA$4),M86*(1+DH$1),AND(A87&gt;DA$4,B87&gt;DB$6),IF(Y86=0,0,(M86-((M86/Y86)*BY86))*(1+DH$2)))</f>
        <v>0</v>
      </c>
      <c r="N87" s="327"/>
      <c r="O87" s="327" cm="1">
        <f t="array" ref="O87">_xlfn.IFS(OR(ISBLANK(Setup!C$63),Setup!C$63&gt;YEAR(C87),AND(A87&gt;DA$6,B87&gt;DB$6),ISBLANK(Y86)),0,Setup!C$63=YEAR(C87),Setup!C$62,AND(OR(A87&lt;=DA$4,B87&lt;=DB$4),Setup!C$63&lt;YEAR(C87)),O86*(1+DH$1),AND(A87&gt;DA$4,B87&gt;DB$4,Setup!C$63&lt;YEAR(C87)),IF(Y86=0,0,(O86-((O86/Y86)*BY86))*(1+DH$2)))</f>
        <v>0</v>
      </c>
      <c r="P87" s="327" cm="1">
        <f t="array" ref="P87">_xlfn.IFS(OR(ISBLANK(Setup!C$67),Setup!C$67&gt;YEAR(C87),AND(A87&gt;DA$6,B87&gt;DB$6)),0,Setup!C$67=YEAR(C87),Setup!C$66,AND(OR(A87&lt;=DA$4,B87&lt;=DB$4),Setup!C$67&lt;YEAR(C87)),P86*(1+DH$1),AND(A87&gt;DA$4,B87&gt;DB$4,Setup!C$67&lt;YEAR(C87)),IF(Y86=0,0,(P86-((P86/Y86)*BY86))*(1+DH$2)))</f>
        <v>0</v>
      </c>
      <c r="Q87" s="327" cm="1">
        <f t="array" ref="Q87">_xlfn.IFS(OR(ISBLANK(Setup!C$71),Setup!C$71&gt;YEAR(C87),AND(A87&gt;DA$6,B87&gt;DB$6)),0,Setup!C$71=YEAR(C87),Setup!C$70,AND(OR(A87&lt;=DA$4,B87&lt;=DB$4),Setup!C$71&lt;YEAR(C87)),Q86*(1+DH$1),AND(A87&gt;DA$4,B87&gt;DB$4,Setup!C$71&lt;YEAR(C87)),IF(Y86=0,0,(Q86-((Q86/Y86)*BY86))*(1+DH$2)))</f>
        <v>0</v>
      </c>
      <c r="R87" s="327" cm="1">
        <f t="array" ref="R87">_xlfn.IFS(OR(ISBLANK(Setup!C$75),Setup!C$75&gt;YEAR(C87),AND(A87&gt;DA$6,B87&gt;DB$6)),0,Setup!C$75=YEAR(C87),Setup!C$74,AND(OR(A87&lt;=DA$4,B87&lt;=DB$4),Setup!C$75&lt;YEAR(C87)),R86*(1+DH$1),AND(A87&gt;DA$4,B87&gt;DB$4,Setup!C$75&lt;YEAR(C87)),IF(Y86=0,0,(R86-((R86/Y86)*BY86))*(1+DH$2)))</f>
        <v>0</v>
      </c>
      <c r="S87" s="327"/>
      <c r="T87" s="326" cm="1">
        <f t="array" ref="T87">_xlfn.IFS(AND($A87&gt;$DA$6,$B87&gt;$DB$6),0,AND($W$2=$DA$2,$A87&gt;$DA$4),IF($Y86=0,0,(T86-((T86/$Y86)*$BY86))*(1+$DH$2)),AND($W$2=$DB$2,$B87&gt;$DB$4),IF($Y86=0,0,(T86-((T86/$Y86)*$BY86))*(1+$DH$2)),AND($W$2=$DA$2,OR($A87&gt;$DA$3,$A87&gt;$DA$6)),(T86*(1+$DH$1)),AND($W$2=$DB$2,OR($B87&gt;$DB$3,$B87&gt;$DB$6)),(T86*(1+$DH$1)),AND($W$2=$DA$2,$A87&lt;=$DA$3,$A87&lt;=$DA$4,$A87&lt;=$DA$5),(T86*(1+$DH$1))+(T$4),AND($W$2=$DB$2,$B87&lt;=$DB$3,$B87&lt;=$DB$4,$B87&lt;=$DB$5),(T86*(1+$DH$1))+(T$4))</f>
        <v>0</v>
      </c>
      <c r="U87" s="326" cm="1">
        <f t="array" ref="U87">_xlfn.IFS(AND($A87&gt;$DA$6,$B87&gt;$DB$6),0,AND($W$2=$DA$2,$A87&gt;$DA$4),IF($Y86=0,0,(U86-((U86/$Y86)*$BY86))*(1+$DH$2)),AND($W$2=$DB$2,$B87&gt;$DB$4),IF($Y86=0,0,(U86-((U86/$Y86)*$BY86))*(1+$DH$2)),AND($W$2=$DA$2,OR($A87&gt;$DA$3,$A87&gt;$DA$6)),(U86*(1+$DH$1)),AND($W$2=$DB$2,OR($B87&gt;$DB$3,$B87&gt;$DB$6)),(U86*(1+$DH$1)),AND($W$2=$DA$2,$A87&lt;=$DA$3,$A87&lt;=$DA$4,$A87&lt;=$DA$5),(U86*(1+$DH$1))+(U$4),AND($W$2=$DB$2,$B87&lt;=$DB$3,$B87&lt;=$DB$4,$B87&lt;=$DB$5),(U86*(1+$DH$1))+(U$4))</f>
        <v>0</v>
      </c>
      <c r="V87" s="326" cm="1">
        <f t="array" ref="V87">_xlfn.IFS(AND($A87&gt;$DA$6,$B87&gt;$DB$6),0,AND($W$2=$DA$2,$A87&gt;$DA$4),IF($Y86=0,0,(V86-((V86/$Y86)*$BY86))*(1+$DH$2)),AND($W$2=$DB$2,$B87&gt;$DB$4),IF($Y86=0,0,(V86-((V86/$Y86)*$BY86))*(1+$DH$2)),AND($W$2=$DA$2,OR($A87&gt;$DA$3,$A87&gt;$DA$6)),(V86*(1+$DH$1)),AND($W$2=$DB$2,OR($B87&gt;$DB$3,$B87&gt;$DB$6)),(V86*(1+$DH$1)),AND($W$2=$DA$2,$A87&lt;=$DA$3,$A87&lt;=$DA$4,$A87&lt;=$DA$5),(V86*(1+$DH$1))+(V$4),AND($W$2=$DB$2,$B87&lt;=$DB$3,$B87&lt;=$DB$4,$B87&lt;=$DB$5),(V86*(1+$DH$1))+(V$4))</f>
        <v>0</v>
      </c>
      <c r="W87" s="326" cm="1">
        <f t="array" ref="W87">_xlfn.IFS(AND($A87&gt;$DA$6,$B87&gt;$DB$6),0,AND($W$2=$DA$2,$A87&gt;$DA$4),IF($Y86=0,0,(W86-((W86/$Y86)*$BY86))*(1+$DH$2)),AND($W$2=$DB$2,$B87&gt;$DB$4),IF($Y86=0,0,(W86-((W86/$Y86)*$BY86))*(1+$DH$2)),AND($W$2=$DA$2,OR($A87&gt;$DA$3,$A87&gt;$DA$6)),(W86*(1+$DH$1)),AND($W$2=$DB$2,OR($B87&gt;$DB$3,$B87&gt;$DB$6)),(W86*(1+$DH$1)),AND($W$2=$DA$2,$A87&lt;=$DA$3,$A87&lt;=$DA$4,$A87&lt;=$DA$5),(W86*(1+$DH$1))+(W$4),AND($W$2=$DB$2,$B87&lt;=$DB$3,$B87&lt;=$DB$4,$B87&lt;=$DB$5),(W86*(1+$DH$1))+(W$4))</f>
        <v>0</v>
      </c>
      <c r="Y87" s="1">
        <f t="shared" si="80"/>
        <v>0</v>
      </c>
      <c r="Z87" s="2">
        <f t="shared" si="71"/>
        <v>0</v>
      </c>
      <c r="AA87" s="375"/>
      <c r="AC87" s="326" cm="1">
        <f t="array" ref="AC87">_xlfn.IFS(AND(A87&gt;DA$6,B87&gt;DB$6),0,AND(A87&gt;DA$4,B87&gt;DB$4),IF(AG86=0,0,(AC86-((AC86/AG86)*CA86))*(1+DH$2)),OR(A87&gt;DA$3,A87&gt;DA$6),AC86*(1+DH$1),A87&gt;DA$4,(AC86-CA86)*(1+DH$2),AND(A87&lt;=DA$3,A87&lt;=DA$4,A87&lt;=DA$6),(AC86*(1+DH$1))+(AC$4))</f>
        <v>0</v>
      </c>
      <c r="AD87" s="375"/>
      <c r="AE87" s="326" cm="1">
        <f t="array" ref="AE87">_xlfn.IFS(AND(A87&gt;DA$6,B87&gt;DB$6),0,AND(A87&gt;DA$4,B87&gt;DB$4),IF(AG86=0,0,(AE86-((AE86/AG86)*CA86))*(1+DH$2)),OR(B87&gt;DB$3,B87&gt;DB$6),AE86*(1+DH$1),B87&gt;DB$4,(AE86-CA86)*(1+DH$2),AND(B87&lt;=DB$3,B87&lt;=DB$4,B87&lt;=DB$6),(AE86*(1+DH$1))+(AE$4))</f>
        <v>0</v>
      </c>
      <c r="AF87" s="375"/>
      <c r="AG87" s="1">
        <f t="shared" si="92"/>
        <v>0</v>
      </c>
      <c r="AH87" s="2">
        <f t="shared" si="81"/>
        <v>0</v>
      </c>
      <c r="AI87" s="14">
        <f t="shared" si="72"/>
        <v>0</v>
      </c>
      <c r="AK87" s="1">
        <f t="shared" si="82"/>
        <v>0</v>
      </c>
      <c r="AL87" s="14">
        <f t="shared" si="73"/>
        <v>0</v>
      </c>
      <c r="AM87" s="14" t="str">
        <f t="shared" ref="AM87:AM92" si="97">IF(AL87&gt;0,AK87-AL87,"")</f>
        <v/>
      </c>
      <c r="AO87" s="15">
        <f t="shared" si="74"/>
        <v>0</v>
      </c>
      <c r="AP87" s="1">
        <f>IF(AND(B87&gt;=$DB$6,A87&gt;=$DA$6),0,AP86*(1+Lookups!C$12))</f>
        <v>0</v>
      </c>
      <c r="AQ87" s="1">
        <f>IF(AND(B87&gt;=$DB$6,A87&gt;=$DA$6),0,AQ86*(1+Lookups!C$12))</f>
        <v>0</v>
      </c>
      <c r="AS87" s="1" cm="1">
        <f t="array" ref="AS87">_xlfn.IFS(OR(AS$6="",AND(A87&gt;=DA$6,B87&gt;=DB$6),AND(A87&lt;DA$4,B87&lt;DB$4)),0,AND(A87=DA$4,DA$4&lt;=DB$4),AS$6,AND(B87=DB$4,DA$4&gt;=DB$4),AS$6,OR(A87&gt;DA$4,B87&gt;DB$4),AS86*(1+Setup!C$103))</f>
        <v>0</v>
      </c>
      <c r="AT87" s="1" cm="1">
        <f t="array" ref="AT87">_xlfn.IFS(OR(AT$6="",AND(A87&gt;=DA$6,B87&gt;=DB$6),AND(A87&lt;DA$4,B87&lt;DB$4)),0,AND(A87=DA$4,DA$4&lt;=DB$4),AT$6,AND(B87=DB$4,DA$4&gt;=DB$4),AT$6,OR(A87&gt;DA$4,B87&gt;DB$4),AT86*(1+Setup!C$103))</f>
        <v>0</v>
      </c>
      <c r="AU87" s="1" cm="1">
        <f t="array" ref="AU87">_xlfn.IFS(OR(AU$6="",AND(A87&gt;=DA$6,B87&gt;=DB$6),AND(A87&lt;DA$4,B87&lt;DB$4)),0,AND(A87=DA$4,DA$4&lt;=DB$4),AU$6,AND(B87=DB$4,DA$4&gt;=DB$4),AU$6,OR(A87&gt;DA$4,B87&gt;DB$4),AU86*(1+Setup!C$103))</f>
        <v>0</v>
      </c>
      <c r="AV87" s="1" cm="1">
        <f t="array" ref="AV87">_xlfn.IFS(OR(AV$6="",AND(A87&gt;=DA$6,B87&gt;=DB$6),AND(A87&lt;DA$4,B87&lt;DB$4)),0,AND(A87=DA$4,DA$4&lt;=DB$4),AV$6,AND(B87=DB$4,DA$4&gt;=DB$4),AV$6,OR(A87&gt;DA$4,B87&gt;DB$4),AV86*(1+Setup!C$103))</f>
        <v>0</v>
      </c>
      <c r="AW87" s="1">
        <f t="shared" si="75"/>
        <v>0</v>
      </c>
      <c r="AY87" s="1" cm="1">
        <f t="array" ref="AY87">_xlfn.IFS(OR(AND(A87&gt;=DA$6,B87&gt;=DB$6),A87&lt;DA$5),0,AND(A87=DA$5,YEAR(C87)&gt;=Lookups!D$89),VLOOKUP(A87,Lookups!B$94:F$102,3),AND(A87=DA$5,YEAR(C87)&lt;Lookups!D$89),VLOOKUP(A87,Lookups!B$94:F$102,2),AND(A87&gt;DA$5,YEAR(C87)=Lookups!D$89),(AY86*Lookups!D$90)*(1+Lookups!C$20),AND(A87&gt;DA$5,YEAR(C87)&lt;&gt;Lookups!D$89),AY86*(1+Lookups!C$20))</f>
        <v>0</v>
      </c>
      <c r="AZ87" s="1" cm="1">
        <f t="array" ref="AZ87">_xlfn.IFS(OR(ISBLANK(Setup!K$91),Setup!K$91=0,AND(A87&gt;=DA$6,B87&gt;=DB$6),B87&lt;DB$5),0,AND(B87=DB$5,YEAR(C87)&gt;=Lookups!D$89),VLOOKUP(B87,Lookups!B$94:F$102,5),AND(B87=DB$5,YEAR(C87)&lt;Lookups!D$89),VLOOKUP(B87,Lookups!B$94:F$102,4),AND(B87&gt;DB$5,YEAR(C87)=Lookups!D$89),(AZ86*Lookups!D$90)*(1+Lookups!C$20),AND(B87&gt;DB$5,YEAR(C87)&lt;&gt;Lookups!D$89),AZ86*(1+Lookups!C$20))</f>
        <v>0</v>
      </c>
      <c r="BA87" s="65">
        <f>IF(OR(AY87&gt;0,AZ87&gt;0),(AY87+AZ87)*Lookups!D$120,0)</f>
        <v>0</v>
      </c>
      <c r="BB87" s="1" cm="1">
        <f t="array" ref="BB87">_xlfn.IFS(AND(A87&lt;DA$4,B87&lt;DB$4),0,OR(_xlfn.XOR(A87&gt;DA$6,B87&gt;DB$6),_xlfn.XOR(A87&gt;=DA$4,B87&gt;=DB$4)),IF(AP87-SUM(AW87,AY87:AZ87)&gt;0,AP87-SUM(AW87,AY87:AZ87),0),AQ87-SUM(AW87,AY87:AZ87)&gt;0, AQ87-SUM(AW87,AY87:AZ87),AQ87-SUM(AW87,AY87:AZ87)&lt;=0,0)</f>
        <v>0</v>
      </c>
      <c r="BD87" s="1" cm="1">
        <f t="array" ref="BD87">_xlfn.IFS(AND(A87&gt;=DA$6,B87&gt;=DB$6),0,AND(A87&gt;=DA$6,B87&gt;=Lookups!C$35),D87/VLOOKUP(B87,Lookups!C$37:D$67,2),A87&lt;Lookups!$C$35,0,A87&gt;=Lookups!C$35,D87/VLOOKUP(A87,Lookups!C$37:D$67,2))</f>
        <v>0</v>
      </c>
      <c r="BE87" s="1" cm="1">
        <f t="array" ref="BE87">_xlfn.IFS(AND(A87&gt;=DA$6,B87&gt;=DB$6),0,AND(B87&gt;=DB$6,A87&gt;=Lookups!C$35),F87/VLOOKUP(A87,Lookups!C$37:D$67,2),B87&lt;Lookups!$C$35,0,B87&gt;=Lookups!C$35,F87/VLOOKUP(B87,Lookups!C$37:D$67,2))</f>
        <v>0</v>
      </c>
      <c r="BF87" s="1" cm="1">
        <f t="array" ref="BF87">_xlfn.IFS($BB87&lt;=0,0,AND(A87&gt;=DA$4,B87&gt;=DB$4,$BB87*I87&lt;(BD87+BE87)),0,AND(A87&gt;=DA$4,B87&gt;=DB$4,H87&gt;=(BB87*I87)-BD87-BE87),(BB87*I87)-BD87-BE87,AND(A87&gt;=DA$4,B87&gt;=DB$4,H87&lt;(BB87*I87)-BD87-BE87),H87,AND(A87&gt;=DA$4,$BB87*I87&lt;(BD87)),0,AND(A87&gt;=DA$4,H87&gt;=(BB87*I87)-BD87),(BB87*I87)-BD87,AND(A87&gt;=DA$4,H87&lt;(BB87*I87)-BD87),H87,AND(B87&gt;=DB$4,$BB87*I87&lt;(BE87)),0,AND(B87&gt;=DB$4,H87&gt;=(BB87*I87)-BE87),(BB87*I87)-BE87,AND(B87&gt;=DB$4,H87&lt;(BB87*I87)-BE87),H87)</f>
        <v>0</v>
      </c>
      <c r="BG87" s="1">
        <f t="shared" si="66"/>
        <v>0</v>
      </c>
      <c r="BH87" s="1" cm="1">
        <f t="array" ref="BH87">_xlfn.IFS(OR(D87=0,A87&lt;DA$4),0,AND(A87&gt;=DA$4,B87&gt;=DB$4,D87&lt;BD87+($BF87*(D87/$H87))+(-$BP87*(D87/$H87))),D87,AND(A87&gt;=DA$4,B87&gt;=DB$4,$BB87&gt;$BG87),BD87+($BF87*(D87/$H87))+(-$BP87*(D87/$H87)),AND(A87&gt;=DA$4,B87&gt;=DB$4,OR(A87&gt;DA$6, B87&gt;DB$6),$AP87-SUM($AW87,$AY87:$AZ87)&lt;0),BD87+($BF87*(D87/$H87))+(-$BP87*(D87/$H87))+(BP87*(D87/$H87)),AND(A87&gt;=DA$4,B87&gt;=DB$4,$AQ87-SUM($AW87,$AY87:$AZ87)&lt;0),BD87+($BF87*(D87/$H87))+(-$BP87*(D87/$H87))+(BP87*(D87/$H87)),AND(A87&gt;=DA$4,D87&lt;BD87+$BF87-$BP87),D87,AND(A87&gt;=DA$4,$AP87-SUM($AW87,$AY87:$AZ87)&lt;0),BD87+($BF87*(D87/$H87))+(-$BP87*(D87/$H87))+(BP87*(D87/$H87)),A87&gt;=DA$4,BD87+$BF87-$BP87)</f>
        <v>0</v>
      </c>
      <c r="BI87" s="1" cm="1">
        <f t="array" ref="BI87">_xlfn.IFS(OR(F87=0,B87&lt;DB$4),0,AND(A87&gt;=DA$4,B87&gt;=DB$4,F87&lt;BE87+($BF87*(F87/$H87))+(-$BP87*(F87/$H87))),F87,AND(A87&gt;=DA$4,B87&gt;=DB$4,$BB87&gt;$BG87),BE87+($BF87*(F87/$H87))+(-$BP87*(F87/$H87)),AND(A87&gt;=DA$4,B87&gt;=DB$4,OR(A87&gt;DA$6, B87&gt;DB$6),$AP87-SUM($AW87,$AY87:$AZ87)&lt;0),BE87+($BF87*(F87/$H87))+(-$BP87*(F87/$H87))+(BP87*(F87/$H87)),AND(A87&gt;=DA$4,B87&gt;=DB$4,$AQ87-SUM($AW87,$AY87:$AZ87)&lt;0),BE87+($BF87*(F87/$H87))+(-$BP87*(F87/$H87))+(BP87*(F87/$H87)),AND(B87&gt;=DB$4,F87&lt;BE87+$BF87-$BP87),F87,AND(B87&gt;=DB$4,$AP87-SUM($AW87,$AY87:$AZ87)&lt;0),BE87+($BF87*(F87/$H87))+(-$BP87*(F87/$H87))+(BP87*(F87/$H87)),B87&gt;=DB$4,BE87+$BF87-$BP87)</f>
        <v>0</v>
      </c>
      <c r="BJ87" s="64" cm="1">
        <f t="array" ref="BJ87">IF(AW87+BA87+BG87&gt;0, AW87+BA87+BG87-_xlfn.IFS(AND(A87&gt;=65,B87&gt;=65),VLOOKUP(Setup!I$4,Lookups!C$133:F$136,4),OR(A87&gt;=65,B87&gt;=65),VLOOKUP(Setup!I$4,Lookups!C$133:E$136,3),AND(A87&lt;65,B87&lt;65),VLOOKUP(Setup!I$4,Lookups!C$133:D$136,2)),0)</f>
        <v>0</v>
      </c>
      <c r="BK87" s="1" cm="1">
        <f t="array" ref="BK87">IF(BJ87&gt;0,_xlfn.IFS(Setup!I$4=Lookups!D$109,-_xlfn.IFS($BJ87&gt;=Lookups!D$157, Lookups!F$157+($BJ87-Lookups!D$157)*Lookups!G$157,$BJ87&gt;=Lookups!D$156, Lookups!F$156+($BJ87-Lookups!D$156)*Lookups!G$156,$BJ87&gt;=Lookups!D$155, Lookups!F$155+($BJ87-Lookups!D$155)*Lookups!G$155,$BJ87&gt;=Lookups!D$154, Lookups!F$154+($BJ87-Lookups!D$154)*Lookups!G$154,$BJ87&gt;=Lookups!D$153, Lookups!F$153+($BJ87-Lookups!D$153)*Lookups!G$153,$BJ87&gt;=Lookups!D$152, Lookups!F$152+($BJ87-Lookups!D$152)*Lookups!G$152,$BJ87&lt;Lookups!D$152,$BJ87*Lookups!G$151),Setup!I$4=Lookups!D$110,-_xlfn.IFS($BJ87&gt;=Lookups!D$167, Lookups!F$167+($BJ87-Lookups!D$167)*Lookups!G$167,$BJ87&gt;=Lookups!D$166, Lookups!F$166+($BJ87-Lookups!D$166)*Lookups!G$166,$BJ87&gt;=Lookups!D$165, Lookups!F$165+($BJ87-Lookups!D$165)*Lookups!G$165,$BJ87&gt;=Lookups!D$164, Lookups!F$164+($BJ87-Lookups!D$164)*Lookups!G$164,$BJ87&gt;=Lookups!D$163, Lookups!F$163+($BJ87-Lookups!D$163)*Lookups!G$163,$BJ87&gt;=Lookups!D$162, Lookups!F$162+($BJ87-Lookups!D$162)*Lookups!G$162,$BJ87&lt;Lookups!D$162,$BJ87*Lookups!G$161),Setup!I$4=Lookups!D$111,-_xlfn.IFS($BJ87&gt;=Lookups!D$177, Lookups!F$177+($BJ87-Lookups!D$177)*Lookups!G$177,$BJ87&gt;=Lookups!D$176, Lookups!F$176+($BJ87-Lookups!D$176)*Lookups!G$176,$BJ87&gt;=Lookups!D$175, Lookups!F$175+($BJ87-Lookups!D$175)*Lookups!G$175,$BJ87&gt;=Lookups!D$174, Lookups!F$174+($BJ87-Lookups!D$174)*Lookups!G$174,$BJ87&gt;=Lookups!D$173, Lookups!F$173+($BJ87-Lookups!D$173)*Lookups!G$173,$BJ87&gt;=Lookups!D$172, Lookups!F$172+($BJ87-Lookups!D$172)*Lookups!G$172,$BJ87&lt;Lookups!D$172,$BJ87*Lookups!G$171), Setup!I$4=Lookups!D$112,-_xlfn.IFS($BJ87&gt;=Lookups!D$187, Lookups!F$187+($BJ87-Lookups!D$187)*Lookups!G$187,$BJ87&gt;=Lookups!D$186, Lookups!F$186+($BJ87-Lookups!D$186)*Lookups!G$186,$BJ87&gt;=Lookups!D$185, Lookups!F$185+($BJ87-Lookups!D$185)*Lookups!G$185,$BJ87&gt;=Lookups!D$184, Lookups!F$184+($BJ87-Lookups!D$184)*Lookups!G$184,$BJ87&gt;=Lookups!D$183, Lookups!F$183+($BJ87-Lookups!D$183)*Lookups!G$183,$BJ87&gt;=Lookups!D$182, Lookups!F$182+($BJ87-Lookups!D$182)*Lookups!G$182,$BJ87&lt;Lookups!D$182,$BJ87*Lookups!G$181)),0)</f>
        <v>0</v>
      </c>
      <c r="BL87" s="18">
        <f t="shared" si="76"/>
        <v>0</v>
      </c>
      <c r="BM87" s="134">
        <f t="shared" ref="BM87:BM92" si="98">IF(BK87=0,0,(BK87*BL87^2)+(BK87*BL87^3)+(BK87*BL87^4)+(BK87*BL87^5)+(BK87*BL87^6)+(BK87*BL87^7)+(BK87*BL87^8)+(BK87*BL87^9)+(BK87*BL87^10))</f>
        <v>0</v>
      </c>
      <c r="BN87" s="134" cm="1">
        <f t="array" aca="1" ref="BN87" ca="1">INDIRECT(Setup!I$6&amp;"!"&amp;"A"&amp;ROW())</f>
        <v>0</v>
      </c>
      <c r="BO87" s="134">
        <f t="shared" si="84"/>
        <v>0</v>
      </c>
      <c r="BP87" s="1">
        <f t="shared" si="77"/>
        <v>0</v>
      </c>
      <c r="BQ87" s="1">
        <f t="shared" si="85"/>
        <v>0</v>
      </c>
      <c r="BS87" s="1">
        <f t="shared" si="86"/>
        <v>0</v>
      </c>
      <c r="BT87" s="1" cm="1">
        <f t="array" ref="BT87">-IF(BS87&gt;0,_xlfn.IFS((AW87+BA87+BG87+BS87)&gt;=VLOOKUP(Setup!I$4,Lookups!C$210:E$213,3),BS87*Lookups!D$203,(AW87+BA87+BG87+BS87)&gt;=VLOOKUP(Setup!I$4,Lookups!C$210:E$213,2),BS87*Lookups!D$197,(AW87+BA87+BG87+BS87)&lt;VLOOKUP(Setup!I$4,Lookups!C$210:E$213,2),0),0)</f>
        <v>0</v>
      </c>
      <c r="BU87" s="18">
        <f t="shared" si="87"/>
        <v>0</v>
      </c>
      <c r="BV87" s="1">
        <f t="shared" si="88"/>
        <v>0</v>
      </c>
      <c r="BW87" s="1" cm="1">
        <f t="array" aca="1" ref="BW87" ca="1">INDIRECT(Setup!I$6&amp;"!"&amp;"A"&amp;ROW()+100)</f>
        <v>0</v>
      </c>
      <c r="BX87" s="1">
        <f t="shared" ca="1" si="78"/>
        <v>0</v>
      </c>
      <c r="BY87" s="1">
        <f t="shared" ca="1" si="79"/>
        <v>0</v>
      </c>
      <c r="CA87" s="1">
        <f t="shared" si="91"/>
        <v>0</v>
      </c>
      <c r="CC87" s="1" cm="1">
        <f t="array" ref="CC87">_xlfn.IFS(AND(A87&lt;$DA$4,B87&lt;$DB$4),0,AND(AND(A87&gt;=$DA$4,B87&gt;=$DB$4),AND(A87&lt;=$DA$6,B87&lt;=$DB$6),AND(BH87=0,BI87=0)),SUM(AW87,AY87:AZ87,BD87:BF87,BP87,BS87,CA87)-AQ87,AND(AND(A87&gt;=$DA$4,B87&gt;=$DB$4),AND(A87&lt;=$DA$6,B87&lt;=$DB$6)),SUM(AW87,AY87:AZ87,BD87:BF87,BS87,CA87)-AQ87,AND(OR(A87&gt;=$DA$4,B87&gt;=$DB$4),AND(BH87=0,BI87=0)),SUM(AW87,AY87:AZ87,BD87:BF87,BP87,BS87,CA87)-AP87,OR(A87&gt;=$DA$4,B87&gt;=$DB$4),SUM(AW87,AY87:AZ87,BD87:BF87,BS87,CA87)-AP87)</f>
        <v>0</v>
      </c>
      <c r="CD87" s="142" t="str">
        <f t="shared" si="89"/>
        <v/>
      </c>
    </row>
    <row r="88" spans="1:82" x14ac:dyDescent="0.3">
      <c r="A88" s="354">
        <f t="shared" si="68"/>
        <v>81</v>
      </c>
      <c r="B88" s="354">
        <f t="shared" si="69"/>
        <v>81</v>
      </c>
      <c r="C88" s="359">
        <f t="shared" si="90"/>
        <v>29587</v>
      </c>
      <c r="D88" s="326" cm="1">
        <f t="array" ref="D88">_xlfn.IFS(AND(A88&gt;DA$6,B88&gt;DB$6),0,AND(A88&gt;DA$3,A88&lt;=DA$4),D87*(1+DH$1),OR(A88&gt;DA$6,A88&gt;DA$4),(D87-BH87)*(1+DH$2),A88&lt;=DA$4,(D87*(1+DH$1))+(D$4))</f>
        <v>0</v>
      </c>
      <c r="E88" s="375"/>
      <c r="F88" s="326" cm="1">
        <f t="array" ref="F88">_xlfn.IFS(AND(A88&gt;DA$6,B88&gt;DB$6),0,AND(B88&gt;DB$3,B88&lt;=DB$4),F87*(1+DH$1),OR(B88&gt;DB$6,B88&gt;DB$4),(F87-BI87)*(1+DH$2),B88&lt;=DB$4,(F87*(1+DH$1))+(F$4))</f>
        <v>0</v>
      </c>
      <c r="G88" s="375"/>
      <c r="H88" s="1">
        <f t="shared" si="95"/>
        <v>0</v>
      </c>
      <c r="I88" s="2">
        <f t="shared" si="70"/>
        <v>0</v>
      </c>
      <c r="J88" s="14">
        <f t="shared" si="96"/>
        <v>0</v>
      </c>
      <c r="L88" s="402" cm="1">
        <f t="array" ref="L88">_xlfn.IFS(AND(A88&gt;DA$6,B88&gt;DB$6),0,A88&lt;DA$6,0,A88=DA$6,L$4,AND(A88&gt;DA$6,B88&lt;=DB$4),L87*(1+DH$1),AND(A88&gt;DA$6,B88&gt;DB$4),IF(Y87=0,0,(L87-((L87/Y87)*BY87))*(1+DH$2)))</f>
        <v>0</v>
      </c>
      <c r="M88" s="402" cm="1">
        <f t="array" ref="M88">_xlfn.IFS(AND(A88&gt;DA$6,B88&gt;DB$6),0,B88&lt;DB$6,0,B88=DB$6,M$4,AND(B88&gt;DB$6,A88&lt;=DA$4),M87*(1+DH$1),AND(A88&gt;DA$4,B88&gt;DB$6),IF(Y87=0,0,(M87-((M87/Y87)*BY87))*(1+DH$2)))</f>
        <v>0</v>
      </c>
      <c r="N88" s="327"/>
      <c r="O88" s="327" cm="1">
        <f t="array" ref="O88">_xlfn.IFS(OR(ISBLANK(Setup!C$63),Setup!C$63&gt;YEAR(C88),AND(A88&gt;DA$6,B88&gt;DB$6),ISBLANK(Y87)),0,Setup!C$63=YEAR(C88),Setup!C$62,AND(OR(A88&lt;=DA$4,B88&lt;=DB$4),Setup!C$63&lt;YEAR(C88)),O87*(1+DH$1),AND(A88&gt;DA$4,B88&gt;DB$4,Setup!C$63&lt;YEAR(C88)),IF(Y87=0,0,(O87-((O87/Y87)*BY87))*(1+DH$2)))</f>
        <v>0</v>
      </c>
      <c r="P88" s="327" cm="1">
        <f t="array" ref="P88">_xlfn.IFS(OR(ISBLANK(Setup!C$67),Setup!C$67&gt;YEAR(C88),AND(A88&gt;DA$6,B88&gt;DB$6)),0,Setup!C$67=YEAR(C88),Setup!C$66,AND(OR(A88&lt;=DA$4,B88&lt;=DB$4),Setup!C$67&lt;YEAR(C88)),P87*(1+DH$1),AND(A88&gt;DA$4,B88&gt;DB$4,Setup!C$67&lt;YEAR(C88)),IF(Y87=0,0,(P87-((P87/Y87)*BY87))*(1+DH$2)))</f>
        <v>0</v>
      </c>
      <c r="Q88" s="327" cm="1">
        <f t="array" ref="Q88">_xlfn.IFS(OR(ISBLANK(Setup!C$71),Setup!C$71&gt;YEAR(C88),AND(A88&gt;DA$6,B88&gt;DB$6)),0,Setup!C$71=YEAR(C88),Setup!C$70,AND(OR(A88&lt;=DA$4,B88&lt;=DB$4),Setup!C$71&lt;YEAR(C88)),Q87*(1+DH$1),AND(A88&gt;DA$4,B88&gt;DB$4,Setup!C$71&lt;YEAR(C88)),IF(Y87=0,0,(Q87-((Q87/Y87)*BY87))*(1+DH$2)))</f>
        <v>0</v>
      </c>
      <c r="R88" s="327" cm="1">
        <f t="array" ref="R88">_xlfn.IFS(OR(ISBLANK(Setup!C$75),Setup!C$75&gt;YEAR(C88),AND(A88&gt;DA$6,B88&gt;DB$6)),0,Setup!C$75=YEAR(C88),Setup!C$74,AND(OR(A88&lt;=DA$4,B88&lt;=DB$4),Setup!C$75&lt;YEAR(C88)),R87*(1+DH$1),AND(A88&gt;DA$4,B88&gt;DB$4,Setup!C$75&lt;YEAR(C88)),IF(Y87=0,0,(R87-((R87/Y87)*BY87))*(1+DH$2)))</f>
        <v>0</v>
      </c>
      <c r="S88" s="327"/>
      <c r="T88" s="326" cm="1">
        <f t="array" ref="T88">_xlfn.IFS(AND($A88&gt;$DA$6,$B88&gt;$DB$6),0,AND($W$2=$DA$2,$A88&gt;$DA$4),IF($Y87=0,0,(T87-((T87/$Y87)*$BY87))*(1+$DH$2)),AND($W$2=$DB$2,$B88&gt;$DB$4),IF($Y87=0,0,(T87-((T87/$Y87)*$BY87))*(1+$DH$2)),AND($W$2=$DA$2,OR($A88&gt;$DA$3,$A88&gt;$DA$6)),(T87*(1+$DH$1)),AND($W$2=$DB$2,OR($B88&gt;$DB$3,$B88&gt;$DB$6)),(T87*(1+$DH$1)),AND($W$2=$DA$2,$A88&lt;=$DA$3,$A88&lt;=$DA$4,$A88&lt;=$DA$5),(T87*(1+$DH$1))+(T$4),AND($W$2=$DB$2,$B88&lt;=$DB$3,$B88&lt;=$DB$4,$B88&lt;=$DB$5),(T87*(1+$DH$1))+(T$4))</f>
        <v>0</v>
      </c>
      <c r="U88" s="326" cm="1">
        <f t="array" ref="U88">_xlfn.IFS(AND($A88&gt;$DA$6,$B88&gt;$DB$6),0,AND($W$2=$DA$2,$A88&gt;$DA$4),IF($Y87=0,0,(U87-((U87/$Y87)*$BY87))*(1+$DH$2)),AND($W$2=$DB$2,$B88&gt;$DB$4),IF($Y87=0,0,(U87-((U87/$Y87)*$BY87))*(1+$DH$2)),AND($W$2=$DA$2,OR($A88&gt;$DA$3,$A88&gt;$DA$6)),(U87*(1+$DH$1)),AND($W$2=$DB$2,OR($B88&gt;$DB$3,$B88&gt;$DB$6)),(U87*(1+$DH$1)),AND($W$2=$DA$2,$A88&lt;=$DA$3,$A88&lt;=$DA$4,$A88&lt;=$DA$5),(U87*(1+$DH$1))+(U$4),AND($W$2=$DB$2,$B88&lt;=$DB$3,$B88&lt;=$DB$4,$B88&lt;=$DB$5),(U87*(1+$DH$1))+(U$4))</f>
        <v>0</v>
      </c>
      <c r="V88" s="326" cm="1">
        <f t="array" ref="V88">_xlfn.IFS(AND($A88&gt;$DA$6,$B88&gt;$DB$6),0,AND($W$2=$DA$2,$A88&gt;$DA$4),IF($Y87=0,0,(V87-((V87/$Y87)*$BY87))*(1+$DH$2)),AND($W$2=$DB$2,$B88&gt;$DB$4),IF($Y87=0,0,(V87-((V87/$Y87)*$BY87))*(1+$DH$2)),AND($W$2=$DA$2,OR($A88&gt;$DA$3,$A88&gt;$DA$6)),(V87*(1+$DH$1)),AND($W$2=$DB$2,OR($B88&gt;$DB$3,$B88&gt;$DB$6)),(V87*(1+$DH$1)),AND($W$2=$DA$2,$A88&lt;=$DA$3,$A88&lt;=$DA$4,$A88&lt;=$DA$5),(V87*(1+$DH$1))+(V$4),AND($W$2=$DB$2,$B88&lt;=$DB$3,$B88&lt;=$DB$4,$B88&lt;=$DB$5),(V87*(1+$DH$1))+(V$4))</f>
        <v>0</v>
      </c>
      <c r="W88" s="326" cm="1">
        <f t="array" ref="W88">_xlfn.IFS(AND($A88&gt;$DA$6,$B88&gt;$DB$6),0,AND($W$2=$DA$2,$A88&gt;$DA$4),IF($Y87=0,0,(W87-((W87/$Y87)*$BY87))*(1+$DH$2)),AND($W$2=$DB$2,$B88&gt;$DB$4),IF($Y87=0,0,(W87-((W87/$Y87)*$BY87))*(1+$DH$2)),AND($W$2=$DA$2,OR($A88&gt;$DA$3,$A88&gt;$DA$6)),(W87*(1+$DH$1)),AND($W$2=$DB$2,OR($B88&gt;$DB$3,$B88&gt;$DB$6)),(W87*(1+$DH$1)),AND($W$2=$DA$2,$A88&lt;=$DA$3,$A88&lt;=$DA$4,$A88&lt;=$DA$5),(W87*(1+$DH$1))+(W$4),AND($W$2=$DB$2,$B88&lt;=$DB$3,$B88&lt;=$DB$4,$B88&lt;=$DB$5),(W87*(1+$DH$1))+(W$4))</f>
        <v>0</v>
      </c>
      <c r="Y88" s="1">
        <f t="shared" si="80"/>
        <v>0</v>
      </c>
      <c r="Z88" s="2">
        <f t="shared" si="71"/>
        <v>0</v>
      </c>
      <c r="AA88" s="375"/>
      <c r="AC88" s="326" cm="1">
        <f t="array" ref="AC88">_xlfn.IFS(AND(A88&gt;DA$6,B88&gt;DB$6),0,AND(A88&gt;DA$4,B88&gt;DB$4),IF(AG87=0,0,(AC87-((AC87/AG87)*CA87))*(1+DH$2)),OR(A88&gt;DA$3,A88&gt;DA$6),AC87*(1+DH$1),A88&gt;DA$4,(AC87-CA87)*(1+DH$2),AND(A88&lt;=DA$3,A88&lt;=DA$4,A88&lt;=DA$6),(AC87*(1+DH$1))+(AC$4))</f>
        <v>0</v>
      </c>
      <c r="AD88" s="375"/>
      <c r="AE88" s="326" cm="1">
        <f t="array" ref="AE88">_xlfn.IFS(AND(A88&gt;DA$6,B88&gt;DB$6),0,AND(A88&gt;DA$4,B88&gt;DB$4),IF(AG87=0,0,(AE87-((AE87/AG87)*CA87))*(1+DH$2)),OR(B88&gt;DB$3,B88&gt;DB$6),AE87*(1+DH$1),B88&gt;DB$4,(AE87-CA87)*(1+DH$2),AND(B88&lt;=DB$3,B88&lt;=DB$4,B88&lt;=DB$6),(AE87*(1+DH$1))+(AE$4))</f>
        <v>0</v>
      </c>
      <c r="AF88" s="375"/>
      <c r="AG88" s="1">
        <f t="shared" si="92"/>
        <v>0</v>
      </c>
      <c r="AH88" s="2">
        <f t="shared" si="81"/>
        <v>0</v>
      </c>
      <c r="AI88" s="14">
        <f t="shared" si="72"/>
        <v>0</v>
      </c>
      <c r="AK88" s="1">
        <f t="shared" si="82"/>
        <v>0</v>
      </c>
      <c r="AL88" s="14">
        <f t="shared" si="73"/>
        <v>0</v>
      </c>
      <c r="AM88" s="14" t="str">
        <f t="shared" si="97"/>
        <v/>
      </c>
      <c r="AO88" s="15">
        <f t="shared" si="74"/>
        <v>0</v>
      </c>
      <c r="AP88" s="1">
        <f>IF(AND(B88&gt;=$DB$6,A88&gt;=$DA$6),0,AP87*(1+Lookups!C$12))</f>
        <v>0</v>
      </c>
      <c r="AQ88" s="1">
        <f>IF(AND(B88&gt;=$DB$6,A88&gt;=$DA$6),0,AQ87*(1+Lookups!C$12))</f>
        <v>0</v>
      </c>
      <c r="AS88" s="1" cm="1">
        <f t="array" ref="AS88">_xlfn.IFS(OR(AS$6="",AND(A88&gt;=DA$6,B88&gt;=DB$6),AND(A88&lt;DA$4,B88&lt;DB$4)),0,AND(A88=DA$4,DA$4&lt;=DB$4),AS$6,AND(B88=DB$4,DA$4&gt;=DB$4),AS$6,OR(A88&gt;DA$4,B88&gt;DB$4),AS87*(1+Setup!C$103))</f>
        <v>0</v>
      </c>
      <c r="AT88" s="1" cm="1">
        <f t="array" ref="AT88">_xlfn.IFS(OR(AT$6="",AND(A88&gt;=DA$6,B88&gt;=DB$6),AND(A88&lt;DA$4,B88&lt;DB$4)),0,AND(A88=DA$4,DA$4&lt;=DB$4),AT$6,AND(B88=DB$4,DA$4&gt;=DB$4),AT$6,OR(A88&gt;DA$4,B88&gt;DB$4),AT87*(1+Setup!C$103))</f>
        <v>0</v>
      </c>
      <c r="AU88" s="1" cm="1">
        <f t="array" ref="AU88">_xlfn.IFS(OR(AU$6="",AND(A88&gt;=DA$6,B88&gt;=DB$6),AND(A88&lt;DA$4,B88&lt;DB$4)),0,AND(A88=DA$4,DA$4&lt;=DB$4),AU$6,AND(B88=DB$4,DA$4&gt;=DB$4),AU$6,OR(A88&gt;DA$4,B88&gt;DB$4),AU87*(1+Setup!C$103))</f>
        <v>0</v>
      </c>
      <c r="AV88" s="1" cm="1">
        <f t="array" ref="AV88">_xlfn.IFS(OR(AV$6="",AND(A88&gt;=DA$6,B88&gt;=DB$6),AND(A88&lt;DA$4,B88&lt;DB$4)),0,AND(A88=DA$4,DA$4&lt;=DB$4),AV$6,AND(B88=DB$4,DA$4&gt;=DB$4),AV$6,OR(A88&gt;DA$4,B88&gt;DB$4),AV87*(1+Setup!C$103))</f>
        <v>0</v>
      </c>
      <c r="AW88" s="1">
        <f t="shared" si="75"/>
        <v>0</v>
      </c>
      <c r="AY88" s="1" cm="1">
        <f t="array" ref="AY88">_xlfn.IFS(OR(AND(A88&gt;=DA$6,B88&gt;=DB$6),A88&lt;DA$5),0,AND(A88=DA$5,YEAR(C88)&gt;=Lookups!D$89),VLOOKUP(A88,Lookups!B$94:F$102,3),AND(A88=DA$5,YEAR(C88)&lt;Lookups!D$89),VLOOKUP(A88,Lookups!B$94:F$102,2),AND(A88&gt;DA$5,YEAR(C88)=Lookups!D$89),(AY87*Lookups!D$90)*(1+Lookups!C$20),AND(A88&gt;DA$5,YEAR(C88)&lt;&gt;Lookups!D$89),AY87*(1+Lookups!C$20))</f>
        <v>0</v>
      </c>
      <c r="AZ88" s="1" cm="1">
        <f t="array" ref="AZ88">_xlfn.IFS(OR(ISBLANK(Setup!K$91),Setup!K$91=0,AND(A88&gt;=DA$6,B88&gt;=DB$6),B88&lt;DB$5),0,AND(B88=DB$5,YEAR(C88)&gt;=Lookups!D$89),VLOOKUP(B88,Lookups!B$94:F$102,5),AND(B88=DB$5,YEAR(C88)&lt;Lookups!D$89),VLOOKUP(B88,Lookups!B$94:F$102,4),AND(B88&gt;DB$5,YEAR(C88)=Lookups!D$89),(AZ87*Lookups!D$90)*(1+Lookups!C$20),AND(B88&gt;DB$5,YEAR(C88)&lt;&gt;Lookups!D$89),AZ87*(1+Lookups!C$20))</f>
        <v>0</v>
      </c>
      <c r="BA88" s="65">
        <f>IF(OR(AY88&gt;0,AZ88&gt;0),(AY88+AZ88)*Lookups!D$120,0)</f>
        <v>0</v>
      </c>
      <c r="BB88" s="1" cm="1">
        <f t="array" ref="BB88">_xlfn.IFS(AND(A88&lt;DA$4,B88&lt;DB$4),0,OR(_xlfn.XOR(A88&gt;DA$6,B88&gt;DB$6),_xlfn.XOR(A88&gt;=DA$4,B88&gt;=DB$4)),IF(AP88-SUM(AW88,AY88:AZ88)&gt;0,AP88-SUM(AW88,AY88:AZ88),0),AQ88-SUM(AW88,AY88:AZ88)&gt;0, AQ88-SUM(AW88,AY88:AZ88),AQ88-SUM(AW88,AY88:AZ88)&lt;=0,0)</f>
        <v>0</v>
      </c>
      <c r="BD88" s="1" cm="1">
        <f t="array" ref="BD88">_xlfn.IFS(AND(A88&gt;=DA$6,B88&gt;=DB$6),0,AND(A88&gt;=DA$6,B88&gt;=Lookups!C$35),D88/VLOOKUP(B88,Lookups!C$37:D$67,2),A88&lt;Lookups!$C$35,0,A88&gt;=Lookups!C$35,D88/VLOOKUP(A88,Lookups!C$37:D$67,2))</f>
        <v>0</v>
      </c>
      <c r="BE88" s="1" cm="1">
        <f t="array" ref="BE88">_xlfn.IFS(AND(A88&gt;=DA$6,B88&gt;=DB$6),0,AND(B88&gt;=DB$6,A88&gt;=Lookups!C$35),F88/VLOOKUP(A88,Lookups!C$37:D$67,2),B88&lt;Lookups!$C$35,0,B88&gt;=Lookups!C$35,F88/VLOOKUP(B88,Lookups!C$37:D$67,2))</f>
        <v>0</v>
      </c>
      <c r="BF88" s="1" cm="1">
        <f t="array" ref="BF88">_xlfn.IFS($BB88&lt;=0,0,AND(A88&gt;=DA$4,B88&gt;=DB$4,$BB88*I88&lt;(BD88+BE88)),0,AND(A88&gt;=DA$4,B88&gt;=DB$4,H88&gt;=(BB88*I88)-BD88-BE88),(BB88*I88)-BD88-BE88,AND(A88&gt;=DA$4,B88&gt;=DB$4,H88&lt;(BB88*I88)-BD88-BE88),H88,AND(A88&gt;=DA$4,$BB88*I88&lt;(BD88)),0,AND(A88&gt;=DA$4,H88&gt;=(BB88*I88)-BD88),(BB88*I88)-BD88,AND(A88&gt;=DA$4,H88&lt;(BB88*I88)-BD88),H88,AND(B88&gt;=DB$4,$BB88*I88&lt;(BE88)),0,AND(B88&gt;=DB$4,H88&gt;=(BB88*I88)-BE88),(BB88*I88)-BE88,AND(B88&gt;=DB$4,H88&lt;(BB88*I88)-BE88),H88)</f>
        <v>0</v>
      </c>
      <c r="BG88" s="1">
        <f t="shared" si="66"/>
        <v>0</v>
      </c>
      <c r="BH88" s="1" cm="1">
        <f t="array" ref="BH88">_xlfn.IFS(OR(D88=0,A88&lt;DA$4),0,AND(A88&gt;=DA$4,B88&gt;=DB$4,D88&lt;BD88+($BF88*(D88/$H88))+(-$BP88*(D88/$H88))),D88,AND(A88&gt;=DA$4,B88&gt;=DB$4,$BB88&gt;$BG88),BD88+($BF88*(D88/$H88))+(-$BP88*(D88/$H88)),AND(A88&gt;=DA$4,B88&gt;=DB$4,OR(A88&gt;DA$6, B88&gt;DB$6),$AP88-SUM($AW88,$AY88:$AZ88)&lt;0),BD88+($BF88*(D88/$H88))+(-$BP88*(D88/$H88))+(BP88*(D88/$H88)),AND(A88&gt;=DA$4,B88&gt;=DB$4,$AQ88-SUM($AW88,$AY88:$AZ88)&lt;0),BD88+($BF88*(D88/$H88))+(-$BP88*(D88/$H88))+(BP88*(D88/$H88)),AND(A88&gt;=DA$4,D88&lt;BD88+$BF88-$BP88),D88,AND(A88&gt;=DA$4,$AP88-SUM($AW88,$AY88:$AZ88)&lt;0),BD88+($BF88*(D88/$H88))+(-$BP88*(D88/$H88))+(BP88*(D88/$H88)),A88&gt;=DA$4,BD88+$BF88-$BP88)</f>
        <v>0</v>
      </c>
      <c r="BI88" s="1" cm="1">
        <f t="array" ref="BI88">_xlfn.IFS(OR(F88=0,B88&lt;DB$4),0,AND(A88&gt;=DA$4,B88&gt;=DB$4,F88&lt;BE88+($BF88*(F88/$H88))+(-$BP88*(F88/$H88))),F88,AND(A88&gt;=DA$4,B88&gt;=DB$4,$BB88&gt;$BG88),BE88+($BF88*(F88/$H88))+(-$BP88*(F88/$H88)),AND(A88&gt;=DA$4,B88&gt;=DB$4,OR(A88&gt;DA$6, B88&gt;DB$6),$AP88-SUM($AW88,$AY88:$AZ88)&lt;0),BE88+($BF88*(F88/$H88))+(-$BP88*(F88/$H88))+(BP88*(F88/$H88)),AND(A88&gt;=DA$4,B88&gt;=DB$4,$AQ88-SUM($AW88,$AY88:$AZ88)&lt;0),BE88+($BF88*(F88/$H88))+(-$BP88*(F88/$H88))+(BP88*(F88/$H88)),AND(B88&gt;=DB$4,F88&lt;BE88+$BF88-$BP88),F88,AND(B88&gt;=DB$4,$AP88-SUM($AW88,$AY88:$AZ88)&lt;0),BE88+($BF88*(F88/$H88))+(-$BP88*(F88/$H88))+(BP88*(F88/$H88)),B88&gt;=DB$4,BE88+$BF88-$BP88)</f>
        <v>0</v>
      </c>
      <c r="BJ88" s="64" cm="1">
        <f t="array" ref="BJ88">IF(AW88+BA88+BG88&gt;0, AW88+BA88+BG88-_xlfn.IFS(AND(A88&gt;=65,B88&gt;=65),VLOOKUP(Setup!I$4,Lookups!C$133:F$136,4),OR(A88&gt;=65,B88&gt;=65),VLOOKUP(Setup!I$4,Lookups!C$133:E$136,3),AND(A88&lt;65,B88&lt;65),VLOOKUP(Setup!I$4,Lookups!C$133:D$136,2)),0)</f>
        <v>0</v>
      </c>
      <c r="BK88" s="1" cm="1">
        <f t="array" ref="BK88">IF(BJ88&gt;0,_xlfn.IFS(Setup!I$4=Lookups!D$109,-_xlfn.IFS($BJ88&gt;=Lookups!D$157, Lookups!F$157+($BJ88-Lookups!D$157)*Lookups!G$157,$BJ88&gt;=Lookups!D$156, Lookups!F$156+($BJ88-Lookups!D$156)*Lookups!G$156,$BJ88&gt;=Lookups!D$155, Lookups!F$155+($BJ88-Lookups!D$155)*Lookups!G$155,$BJ88&gt;=Lookups!D$154, Lookups!F$154+($BJ88-Lookups!D$154)*Lookups!G$154,$BJ88&gt;=Lookups!D$153, Lookups!F$153+($BJ88-Lookups!D$153)*Lookups!G$153,$BJ88&gt;=Lookups!D$152, Lookups!F$152+($BJ88-Lookups!D$152)*Lookups!G$152,$BJ88&lt;Lookups!D$152,$BJ88*Lookups!G$151),Setup!I$4=Lookups!D$110,-_xlfn.IFS($BJ88&gt;=Lookups!D$167, Lookups!F$167+($BJ88-Lookups!D$167)*Lookups!G$167,$BJ88&gt;=Lookups!D$166, Lookups!F$166+($BJ88-Lookups!D$166)*Lookups!G$166,$BJ88&gt;=Lookups!D$165, Lookups!F$165+($BJ88-Lookups!D$165)*Lookups!G$165,$BJ88&gt;=Lookups!D$164, Lookups!F$164+($BJ88-Lookups!D$164)*Lookups!G$164,$BJ88&gt;=Lookups!D$163, Lookups!F$163+($BJ88-Lookups!D$163)*Lookups!G$163,$BJ88&gt;=Lookups!D$162, Lookups!F$162+($BJ88-Lookups!D$162)*Lookups!G$162,$BJ88&lt;Lookups!D$162,$BJ88*Lookups!G$161),Setup!I$4=Lookups!D$111,-_xlfn.IFS($BJ88&gt;=Lookups!D$177, Lookups!F$177+($BJ88-Lookups!D$177)*Lookups!G$177,$BJ88&gt;=Lookups!D$176, Lookups!F$176+($BJ88-Lookups!D$176)*Lookups!G$176,$BJ88&gt;=Lookups!D$175, Lookups!F$175+($BJ88-Lookups!D$175)*Lookups!G$175,$BJ88&gt;=Lookups!D$174, Lookups!F$174+($BJ88-Lookups!D$174)*Lookups!G$174,$BJ88&gt;=Lookups!D$173, Lookups!F$173+($BJ88-Lookups!D$173)*Lookups!G$173,$BJ88&gt;=Lookups!D$172, Lookups!F$172+($BJ88-Lookups!D$172)*Lookups!G$172,$BJ88&lt;Lookups!D$172,$BJ88*Lookups!G$171), Setup!I$4=Lookups!D$112,-_xlfn.IFS($BJ88&gt;=Lookups!D$187, Lookups!F$187+($BJ88-Lookups!D$187)*Lookups!G$187,$BJ88&gt;=Lookups!D$186, Lookups!F$186+($BJ88-Lookups!D$186)*Lookups!G$186,$BJ88&gt;=Lookups!D$185, Lookups!F$185+($BJ88-Lookups!D$185)*Lookups!G$185,$BJ88&gt;=Lookups!D$184, Lookups!F$184+($BJ88-Lookups!D$184)*Lookups!G$184,$BJ88&gt;=Lookups!D$183, Lookups!F$183+($BJ88-Lookups!D$183)*Lookups!G$183,$BJ88&gt;=Lookups!D$182, Lookups!F$182+($BJ88-Lookups!D$182)*Lookups!G$182,$BJ88&lt;Lookups!D$182,$BJ88*Lookups!G$181)),0)</f>
        <v>0</v>
      </c>
      <c r="BL88" s="18">
        <f t="shared" si="76"/>
        <v>0</v>
      </c>
      <c r="BM88" s="134">
        <f t="shared" si="98"/>
        <v>0</v>
      </c>
      <c r="BN88" s="134" cm="1">
        <f t="array" aca="1" ref="BN88" ca="1">INDIRECT(Setup!I$6&amp;"!"&amp;"A"&amp;ROW())</f>
        <v>0</v>
      </c>
      <c r="BO88" s="134">
        <f t="shared" si="84"/>
        <v>0</v>
      </c>
      <c r="BP88" s="1">
        <f t="shared" si="77"/>
        <v>0</v>
      </c>
      <c r="BQ88" s="1">
        <f t="shared" si="85"/>
        <v>0</v>
      </c>
      <c r="BS88" s="1">
        <f t="shared" si="86"/>
        <v>0</v>
      </c>
      <c r="BT88" s="1" cm="1">
        <f t="array" ref="BT88">-IF(BS88&gt;0,_xlfn.IFS((AW88+BA88+BG88+BS88)&gt;=VLOOKUP(Setup!I$4,Lookups!C$210:E$213,3),BS88*Lookups!D$203,(AW88+BA88+BG88+BS88)&gt;=VLOOKUP(Setup!I$4,Lookups!C$210:E$213,2),BS88*Lookups!D$197,(AW88+BA88+BG88+BS88)&lt;VLOOKUP(Setup!I$4,Lookups!C$210:E$213,2),0),0)</f>
        <v>0</v>
      </c>
      <c r="BU88" s="18">
        <f t="shared" si="87"/>
        <v>0</v>
      </c>
      <c r="BV88" s="1">
        <f t="shared" si="88"/>
        <v>0</v>
      </c>
      <c r="BW88" s="1" cm="1">
        <f t="array" aca="1" ref="BW88" ca="1">INDIRECT(Setup!I$6&amp;"!"&amp;"A"&amp;ROW()+100)</f>
        <v>0</v>
      </c>
      <c r="BX88" s="1">
        <f t="shared" ca="1" si="78"/>
        <v>0</v>
      </c>
      <c r="BY88" s="1">
        <f t="shared" ca="1" si="79"/>
        <v>0</v>
      </c>
      <c r="CA88" s="1">
        <f t="shared" si="91"/>
        <v>0</v>
      </c>
      <c r="CC88" s="1" cm="1">
        <f t="array" ref="CC88">_xlfn.IFS(AND(A88&lt;$DA$4,B88&lt;$DB$4),0,AND(AND(A88&gt;=$DA$4,B88&gt;=$DB$4),AND(A88&lt;=$DA$6,B88&lt;=$DB$6),AND(BH88=0,BI88=0)),SUM(AW88,AY88:AZ88,BD88:BF88,BP88,BS88,CA88)-AQ88,AND(AND(A88&gt;=$DA$4,B88&gt;=$DB$4),AND(A88&lt;=$DA$6,B88&lt;=$DB$6)),SUM(AW88,AY88:AZ88,BD88:BF88,BS88,CA88)-AQ88,AND(OR(A88&gt;=$DA$4,B88&gt;=$DB$4),AND(BH88=0,BI88=0)),SUM(AW88,AY88:AZ88,BD88:BF88,BP88,BS88,CA88)-AP88,OR(A88&gt;=$DA$4,B88&gt;=$DB$4),SUM(AW88,AY88:AZ88,BD88:BF88,BS88,CA88)-AP88)</f>
        <v>0</v>
      </c>
      <c r="CD88" s="142" t="str">
        <f t="shared" si="89"/>
        <v/>
      </c>
    </row>
    <row r="89" spans="1:82" x14ac:dyDescent="0.3">
      <c r="A89" s="354">
        <f t="shared" si="68"/>
        <v>82</v>
      </c>
      <c r="B89" s="354">
        <f t="shared" si="69"/>
        <v>82</v>
      </c>
      <c r="C89" s="359">
        <f t="shared" si="90"/>
        <v>29952</v>
      </c>
      <c r="D89" s="326" cm="1">
        <f t="array" ref="D89">_xlfn.IFS(AND(A89&gt;DA$6,B89&gt;DB$6),0,AND(A89&gt;DA$3,A89&lt;=DA$4),D88*(1+DH$1),OR(A89&gt;DA$6,A89&gt;DA$4),(D88-BH88)*(1+DH$2),A89&lt;=DA$4,(D88*(1+DH$1))+(D$4))</f>
        <v>0</v>
      </c>
      <c r="E89" s="375"/>
      <c r="F89" s="326" cm="1">
        <f t="array" ref="F89">_xlfn.IFS(AND(A89&gt;DA$6,B89&gt;DB$6),0,AND(B89&gt;DB$3,B89&lt;=DB$4),F88*(1+DH$1),OR(B89&gt;DB$6,B89&gt;DB$4),(F88-BI88)*(1+DH$2),B89&lt;=DB$4,(F88*(1+DH$1))+(F$4))</f>
        <v>0</v>
      </c>
      <c r="G89" s="375"/>
      <c r="H89" s="1">
        <f t="shared" si="95"/>
        <v>0</v>
      </c>
      <c r="I89" s="2">
        <f t="shared" si="70"/>
        <v>0</v>
      </c>
      <c r="J89" s="14">
        <f t="shared" si="96"/>
        <v>0</v>
      </c>
      <c r="L89" s="402" cm="1">
        <f t="array" ref="L89">_xlfn.IFS(AND(A89&gt;DA$6,B89&gt;DB$6),0,A89&lt;DA$6,0,A89=DA$6,L$4,AND(A89&gt;DA$6,B89&lt;=DB$4),L88*(1+DH$1),AND(A89&gt;DA$6,B89&gt;DB$4),IF(Y88=0,0,(L88-((L88/Y88)*BY88))*(1+DH$2)))</f>
        <v>0</v>
      </c>
      <c r="M89" s="402" cm="1">
        <f t="array" ref="M89">_xlfn.IFS(AND(A89&gt;DA$6,B89&gt;DB$6),0,B89&lt;DB$6,0,B89=DB$6,M$4,AND(B89&gt;DB$6,A89&lt;=DA$4),M88*(1+DH$1),AND(A89&gt;DA$4,B89&gt;DB$6),IF(Y88=0,0,(M88-((M88/Y88)*BY88))*(1+DH$2)))</f>
        <v>0</v>
      </c>
      <c r="N89" s="327"/>
      <c r="O89" s="327" cm="1">
        <f t="array" ref="O89">_xlfn.IFS(OR(ISBLANK(Setup!C$63),Setup!C$63&gt;YEAR(C89),AND(A89&gt;DA$6,B89&gt;DB$6),ISBLANK(Y88)),0,Setup!C$63=YEAR(C89),Setup!C$62,AND(OR(A89&lt;=DA$4,B89&lt;=DB$4),Setup!C$63&lt;YEAR(C89)),O88*(1+DH$1),AND(A89&gt;DA$4,B89&gt;DB$4,Setup!C$63&lt;YEAR(C89)),IF(Y88=0,0,(O88-((O88/Y88)*BY88))*(1+DH$2)))</f>
        <v>0</v>
      </c>
      <c r="P89" s="327" cm="1">
        <f t="array" ref="P89">_xlfn.IFS(OR(ISBLANK(Setup!C$67),Setup!C$67&gt;YEAR(C89),AND(A89&gt;DA$6,B89&gt;DB$6)),0,Setup!C$67=YEAR(C89),Setup!C$66,AND(OR(A89&lt;=DA$4,B89&lt;=DB$4),Setup!C$67&lt;YEAR(C89)),P88*(1+DH$1),AND(A89&gt;DA$4,B89&gt;DB$4,Setup!C$67&lt;YEAR(C89)),IF(Y88=0,0,(P88-((P88/Y88)*BY88))*(1+DH$2)))</f>
        <v>0</v>
      </c>
      <c r="Q89" s="327" cm="1">
        <f t="array" ref="Q89">_xlfn.IFS(OR(ISBLANK(Setup!C$71),Setup!C$71&gt;YEAR(C89),AND(A89&gt;DA$6,B89&gt;DB$6)),0,Setup!C$71=YEAR(C89),Setup!C$70,AND(OR(A89&lt;=DA$4,B89&lt;=DB$4),Setup!C$71&lt;YEAR(C89)),Q88*(1+DH$1),AND(A89&gt;DA$4,B89&gt;DB$4,Setup!C$71&lt;YEAR(C89)),IF(Y88=0,0,(Q88-((Q88/Y88)*BY88))*(1+DH$2)))</f>
        <v>0</v>
      </c>
      <c r="R89" s="327" cm="1">
        <f t="array" ref="R89">_xlfn.IFS(OR(ISBLANK(Setup!C$75),Setup!C$75&gt;YEAR(C89),AND(A89&gt;DA$6,B89&gt;DB$6)),0,Setup!C$75=YEAR(C89),Setup!C$74,AND(OR(A89&lt;=DA$4,B89&lt;=DB$4),Setup!C$75&lt;YEAR(C89)),R88*(1+DH$1),AND(A89&gt;DA$4,B89&gt;DB$4,Setup!C$75&lt;YEAR(C89)),IF(Y88=0,0,(R88-((R88/Y88)*BY88))*(1+DH$2)))</f>
        <v>0</v>
      </c>
      <c r="S89" s="327"/>
      <c r="T89" s="326" cm="1">
        <f t="array" ref="T89">_xlfn.IFS(AND($A89&gt;$DA$6,$B89&gt;$DB$6),0,AND($W$2=$DA$2,$A89&gt;$DA$4),IF($Y88=0,0,(T88-((T88/$Y88)*$BY88))*(1+$DH$2)),AND($W$2=$DB$2,$B89&gt;$DB$4),IF($Y88=0,0,(T88-((T88/$Y88)*$BY88))*(1+$DH$2)),AND($W$2=$DA$2,OR($A89&gt;$DA$3,$A89&gt;$DA$6)),(T88*(1+$DH$1)),AND($W$2=$DB$2,OR($B89&gt;$DB$3,$B89&gt;$DB$6)),(T88*(1+$DH$1)),AND($W$2=$DA$2,$A89&lt;=$DA$3,$A89&lt;=$DA$4,$A89&lt;=$DA$5),(T88*(1+$DH$1))+(T$4),AND($W$2=$DB$2,$B89&lt;=$DB$3,$B89&lt;=$DB$4,$B89&lt;=$DB$5),(T88*(1+$DH$1))+(T$4))</f>
        <v>0</v>
      </c>
      <c r="U89" s="326" cm="1">
        <f t="array" ref="U89">_xlfn.IFS(AND($A89&gt;$DA$6,$B89&gt;$DB$6),0,AND($W$2=$DA$2,$A89&gt;$DA$4),IF($Y88=0,0,(U88-((U88/$Y88)*$BY88))*(1+$DH$2)),AND($W$2=$DB$2,$B89&gt;$DB$4),IF($Y88=0,0,(U88-((U88/$Y88)*$BY88))*(1+$DH$2)),AND($W$2=$DA$2,OR($A89&gt;$DA$3,$A89&gt;$DA$6)),(U88*(1+$DH$1)),AND($W$2=$DB$2,OR($B89&gt;$DB$3,$B89&gt;$DB$6)),(U88*(1+$DH$1)),AND($W$2=$DA$2,$A89&lt;=$DA$3,$A89&lt;=$DA$4,$A89&lt;=$DA$5),(U88*(1+$DH$1))+(U$4),AND($W$2=$DB$2,$B89&lt;=$DB$3,$B89&lt;=$DB$4,$B89&lt;=$DB$5),(U88*(1+$DH$1))+(U$4))</f>
        <v>0</v>
      </c>
      <c r="V89" s="326" cm="1">
        <f t="array" ref="V89">_xlfn.IFS(AND($A89&gt;$DA$6,$B89&gt;$DB$6),0,AND($W$2=$DA$2,$A89&gt;$DA$4),IF($Y88=0,0,(V88-((V88/$Y88)*$BY88))*(1+$DH$2)),AND($W$2=$DB$2,$B89&gt;$DB$4),IF($Y88=0,0,(V88-((V88/$Y88)*$BY88))*(1+$DH$2)),AND($W$2=$DA$2,OR($A89&gt;$DA$3,$A89&gt;$DA$6)),(V88*(1+$DH$1)),AND($W$2=$DB$2,OR($B89&gt;$DB$3,$B89&gt;$DB$6)),(V88*(1+$DH$1)),AND($W$2=$DA$2,$A89&lt;=$DA$3,$A89&lt;=$DA$4,$A89&lt;=$DA$5),(V88*(1+$DH$1))+(V$4),AND($W$2=$DB$2,$B89&lt;=$DB$3,$B89&lt;=$DB$4,$B89&lt;=$DB$5),(V88*(1+$DH$1))+(V$4))</f>
        <v>0</v>
      </c>
      <c r="W89" s="326" cm="1">
        <f t="array" ref="W89">_xlfn.IFS(AND($A89&gt;$DA$6,$B89&gt;$DB$6),0,AND($W$2=$DA$2,$A89&gt;$DA$4),IF($Y88=0,0,(W88-((W88/$Y88)*$BY88))*(1+$DH$2)),AND($W$2=$DB$2,$B89&gt;$DB$4),IF($Y88=0,0,(W88-((W88/$Y88)*$BY88))*(1+$DH$2)),AND($W$2=$DA$2,OR($A89&gt;$DA$3,$A89&gt;$DA$6)),(W88*(1+$DH$1)),AND($W$2=$DB$2,OR($B89&gt;$DB$3,$B89&gt;$DB$6)),(W88*(1+$DH$1)),AND($W$2=$DA$2,$A89&lt;=$DA$3,$A89&lt;=$DA$4,$A89&lt;=$DA$5),(W88*(1+$DH$1))+(W$4),AND($W$2=$DB$2,$B89&lt;=$DB$3,$B89&lt;=$DB$4,$B89&lt;=$DB$5),(W88*(1+$DH$1))+(W$4))</f>
        <v>0</v>
      </c>
      <c r="Y89" s="1">
        <f t="shared" si="80"/>
        <v>0</v>
      </c>
      <c r="Z89" s="2">
        <f t="shared" si="71"/>
        <v>0</v>
      </c>
      <c r="AA89" s="375"/>
      <c r="AC89" s="326" cm="1">
        <f t="array" ref="AC89">_xlfn.IFS(AND(A89&gt;DA$6,B89&gt;DB$6),0,AND(A89&gt;DA$4,B89&gt;DB$4),IF(AG88=0,0,(AC88-((AC88/AG88)*CA88))*(1+DH$2)),OR(A89&gt;DA$3,A89&gt;DA$6),AC88*(1+DH$1),A89&gt;DA$4,(AC88-CA88)*(1+DH$2),AND(A89&lt;=DA$3,A89&lt;=DA$4,A89&lt;=DA$6),(AC88*(1+DH$1))+(AC$4))</f>
        <v>0</v>
      </c>
      <c r="AD89" s="375"/>
      <c r="AE89" s="326" cm="1">
        <f t="array" ref="AE89">_xlfn.IFS(AND(A89&gt;DA$6,B89&gt;DB$6),0,AND(A89&gt;DA$4,B89&gt;DB$4),IF(AG88=0,0,(AE88-((AE88/AG88)*CA88))*(1+DH$2)),OR(B89&gt;DB$3,B89&gt;DB$6),AE88*(1+DH$1),B89&gt;DB$4,(AE88-CA88)*(1+DH$2),AND(B89&lt;=DB$3,B89&lt;=DB$4,B89&lt;=DB$6),(AE88*(1+DH$1))+(AE$4))</f>
        <v>0</v>
      </c>
      <c r="AF89" s="375"/>
      <c r="AG89" s="1">
        <f t="shared" si="92"/>
        <v>0</v>
      </c>
      <c r="AH89" s="2">
        <f t="shared" si="81"/>
        <v>0</v>
      </c>
      <c r="AI89" s="14">
        <f t="shared" si="72"/>
        <v>0</v>
      </c>
      <c r="AK89" s="1">
        <f t="shared" si="82"/>
        <v>0</v>
      </c>
      <c r="AL89" s="14">
        <f t="shared" si="73"/>
        <v>0</v>
      </c>
      <c r="AM89" s="14" t="str">
        <f t="shared" si="97"/>
        <v/>
      </c>
      <c r="AO89" s="15">
        <f t="shared" si="74"/>
        <v>0</v>
      </c>
      <c r="AP89" s="1">
        <f>IF(AND(B89&gt;=$DB$6,A89&gt;=$DA$6),0,AP88*(1+Lookups!C$12))</f>
        <v>0</v>
      </c>
      <c r="AQ89" s="1">
        <f>IF(AND(B89&gt;=$DB$6,A89&gt;=$DA$6),0,AQ88*(1+Lookups!C$12))</f>
        <v>0</v>
      </c>
      <c r="AS89" s="1" cm="1">
        <f t="array" ref="AS89">_xlfn.IFS(OR(AS$6="",AND(A89&gt;=DA$6,B89&gt;=DB$6),AND(A89&lt;DA$4,B89&lt;DB$4)),0,AND(A89=DA$4,DA$4&lt;=DB$4),AS$6,AND(B89=DB$4,DA$4&gt;=DB$4),AS$6,OR(A89&gt;DA$4,B89&gt;DB$4),AS88*(1+Setup!C$103))</f>
        <v>0</v>
      </c>
      <c r="AT89" s="1" cm="1">
        <f t="array" ref="AT89">_xlfn.IFS(OR(AT$6="",AND(A89&gt;=DA$6,B89&gt;=DB$6),AND(A89&lt;DA$4,B89&lt;DB$4)),0,AND(A89=DA$4,DA$4&lt;=DB$4),AT$6,AND(B89=DB$4,DA$4&gt;=DB$4),AT$6,OR(A89&gt;DA$4,B89&gt;DB$4),AT88*(1+Setup!C$103))</f>
        <v>0</v>
      </c>
      <c r="AU89" s="1" cm="1">
        <f t="array" ref="AU89">_xlfn.IFS(OR(AU$6="",AND(A89&gt;=DA$6,B89&gt;=DB$6),AND(A89&lt;DA$4,B89&lt;DB$4)),0,AND(A89=DA$4,DA$4&lt;=DB$4),AU$6,AND(B89=DB$4,DA$4&gt;=DB$4),AU$6,OR(A89&gt;DA$4,B89&gt;DB$4),AU88*(1+Setup!C$103))</f>
        <v>0</v>
      </c>
      <c r="AV89" s="1" cm="1">
        <f t="array" ref="AV89">_xlfn.IFS(OR(AV$6="",AND(A89&gt;=DA$6,B89&gt;=DB$6),AND(A89&lt;DA$4,B89&lt;DB$4)),0,AND(A89=DA$4,DA$4&lt;=DB$4),AV$6,AND(B89=DB$4,DA$4&gt;=DB$4),AV$6,OR(A89&gt;DA$4,B89&gt;DB$4),AV88*(1+Setup!C$103))</f>
        <v>0</v>
      </c>
      <c r="AW89" s="1">
        <f t="shared" si="75"/>
        <v>0</v>
      </c>
      <c r="AY89" s="1" cm="1">
        <f t="array" ref="AY89">_xlfn.IFS(OR(AND(A89&gt;=DA$6,B89&gt;=DB$6),A89&lt;DA$5),0,AND(A89=DA$5,YEAR(C89)&gt;=Lookups!D$89),VLOOKUP(A89,Lookups!B$94:F$102,3),AND(A89=DA$5,YEAR(C89)&lt;Lookups!D$89),VLOOKUP(A89,Lookups!B$94:F$102,2),AND(A89&gt;DA$5,YEAR(C89)=Lookups!D$89),(AY88*Lookups!D$90)*(1+Lookups!C$20),AND(A89&gt;DA$5,YEAR(C89)&lt;&gt;Lookups!D$89),AY88*(1+Lookups!C$20))</f>
        <v>0</v>
      </c>
      <c r="AZ89" s="1" cm="1">
        <f t="array" ref="AZ89">_xlfn.IFS(OR(ISBLANK(Setup!K$91),Setup!K$91=0,AND(A89&gt;=DA$6,B89&gt;=DB$6),B89&lt;DB$5),0,AND(B89=DB$5,YEAR(C89)&gt;=Lookups!D$89),VLOOKUP(B89,Lookups!B$94:F$102,5),AND(B89=DB$5,YEAR(C89)&lt;Lookups!D$89),VLOOKUP(B89,Lookups!B$94:F$102,4),AND(B89&gt;DB$5,YEAR(C89)=Lookups!D$89),(AZ88*Lookups!D$90)*(1+Lookups!C$20),AND(B89&gt;DB$5,YEAR(C89)&lt;&gt;Lookups!D$89),AZ88*(1+Lookups!C$20))</f>
        <v>0</v>
      </c>
      <c r="BA89" s="65">
        <f>IF(OR(AY89&gt;0,AZ89&gt;0),(AY89+AZ89)*Lookups!D$120,0)</f>
        <v>0</v>
      </c>
      <c r="BB89" s="1" cm="1">
        <f t="array" ref="BB89">_xlfn.IFS(AND(A89&lt;DA$4,B89&lt;DB$4),0,OR(_xlfn.XOR(A89&gt;DA$6,B89&gt;DB$6),_xlfn.XOR(A89&gt;=DA$4,B89&gt;=DB$4)),IF(AP89-SUM(AW89,AY89:AZ89)&gt;0,AP89-SUM(AW89,AY89:AZ89),0),AQ89-SUM(AW89,AY89:AZ89)&gt;0, AQ89-SUM(AW89,AY89:AZ89),AQ89-SUM(AW89,AY89:AZ89)&lt;=0,0)</f>
        <v>0</v>
      </c>
      <c r="BD89" s="1" cm="1">
        <f t="array" ref="BD89">_xlfn.IFS(AND(A89&gt;=DA$6,B89&gt;=DB$6),0,AND(A89&gt;=DA$6,B89&gt;=Lookups!C$35),D89/VLOOKUP(B89,Lookups!C$37:D$67,2),A89&lt;Lookups!$C$35,0,A89&gt;=Lookups!C$35,D89/VLOOKUP(A89,Lookups!C$37:D$67,2))</f>
        <v>0</v>
      </c>
      <c r="BE89" s="1" cm="1">
        <f t="array" ref="BE89">_xlfn.IFS(AND(A89&gt;=DA$6,B89&gt;=DB$6),0,AND(B89&gt;=DB$6,A89&gt;=Lookups!C$35),F89/VLOOKUP(A89,Lookups!C$37:D$67,2),B89&lt;Lookups!$C$35,0,B89&gt;=Lookups!C$35,F89/VLOOKUP(B89,Lookups!C$37:D$67,2))</f>
        <v>0</v>
      </c>
      <c r="BF89" s="1" cm="1">
        <f t="array" ref="BF89">_xlfn.IFS($BB89&lt;=0,0,AND(A89&gt;=DA$4,B89&gt;=DB$4,$BB89*I89&lt;(BD89+BE89)),0,AND(A89&gt;=DA$4,B89&gt;=DB$4,H89&gt;=(BB89*I89)-BD89-BE89),(BB89*I89)-BD89-BE89,AND(A89&gt;=DA$4,B89&gt;=DB$4,H89&lt;(BB89*I89)-BD89-BE89),H89,AND(A89&gt;=DA$4,$BB89*I89&lt;(BD89)),0,AND(A89&gt;=DA$4,H89&gt;=(BB89*I89)-BD89),(BB89*I89)-BD89,AND(A89&gt;=DA$4,H89&lt;(BB89*I89)-BD89),H89,AND(B89&gt;=DB$4,$BB89*I89&lt;(BE89)),0,AND(B89&gt;=DB$4,H89&gt;=(BB89*I89)-BE89),(BB89*I89)-BE89,AND(B89&gt;=DB$4,H89&lt;(BB89*I89)-BE89),H89)</f>
        <v>0</v>
      </c>
      <c r="BG89" s="1">
        <f t="shared" si="66"/>
        <v>0</v>
      </c>
      <c r="BH89" s="1" cm="1">
        <f t="array" ref="BH89">_xlfn.IFS(OR(D89=0,A89&lt;DA$4),0,AND(A89&gt;=DA$4,B89&gt;=DB$4,D89&lt;BD89+($BF89*(D89/$H89))+(-$BP89*(D89/$H89))),D89,AND(A89&gt;=DA$4,B89&gt;=DB$4,$BB89&gt;$BG89),BD89+($BF89*(D89/$H89))+(-$BP89*(D89/$H89)),AND(A89&gt;=DA$4,B89&gt;=DB$4,OR(A89&gt;DA$6, B89&gt;DB$6),$AP89-SUM($AW89,$AY89:$AZ89)&lt;0),BD89+($BF89*(D89/$H89))+(-$BP89*(D89/$H89))+(BP89*(D89/$H89)),AND(A89&gt;=DA$4,B89&gt;=DB$4,$AQ89-SUM($AW89,$AY89:$AZ89)&lt;0),BD89+($BF89*(D89/$H89))+(-$BP89*(D89/$H89))+(BP89*(D89/$H89)),AND(A89&gt;=DA$4,D89&lt;BD89+$BF89-$BP89),D89,AND(A89&gt;=DA$4,$AP89-SUM($AW89,$AY89:$AZ89)&lt;0),BD89+($BF89*(D89/$H89))+(-$BP89*(D89/$H89))+(BP89*(D89/$H89)),A89&gt;=DA$4,BD89+$BF89-$BP89)</f>
        <v>0</v>
      </c>
      <c r="BI89" s="1" cm="1">
        <f t="array" ref="BI89">_xlfn.IFS(OR(F89=0,B89&lt;DB$4),0,AND(A89&gt;=DA$4,B89&gt;=DB$4,F89&lt;BE89+($BF89*(F89/$H89))+(-$BP89*(F89/$H89))),F89,AND(A89&gt;=DA$4,B89&gt;=DB$4,$BB89&gt;$BG89),BE89+($BF89*(F89/$H89))+(-$BP89*(F89/$H89)),AND(A89&gt;=DA$4,B89&gt;=DB$4,OR(A89&gt;DA$6, B89&gt;DB$6),$AP89-SUM($AW89,$AY89:$AZ89)&lt;0),BE89+($BF89*(F89/$H89))+(-$BP89*(F89/$H89))+(BP89*(F89/$H89)),AND(A89&gt;=DA$4,B89&gt;=DB$4,$AQ89-SUM($AW89,$AY89:$AZ89)&lt;0),BE89+($BF89*(F89/$H89))+(-$BP89*(F89/$H89))+(BP89*(F89/$H89)),AND(B89&gt;=DB$4,F89&lt;BE89+$BF89-$BP89),F89,AND(B89&gt;=DB$4,$AP89-SUM($AW89,$AY89:$AZ89)&lt;0),BE89+($BF89*(F89/$H89))+(-$BP89*(F89/$H89))+(BP89*(F89/$H89)),B89&gt;=DB$4,BE89+$BF89-$BP89)</f>
        <v>0</v>
      </c>
      <c r="BJ89" s="64" cm="1">
        <f t="array" ref="BJ89">IF(AW89+BA89+BG89&gt;0, AW89+BA89+BG89-_xlfn.IFS(AND(A89&gt;=65,B89&gt;=65),VLOOKUP(Setup!I$4,Lookups!C$133:F$136,4),OR(A89&gt;=65,B89&gt;=65),VLOOKUP(Setup!I$4,Lookups!C$133:E$136,3),AND(A89&lt;65,B89&lt;65),VLOOKUP(Setup!I$4,Lookups!C$133:D$136,2)),0)</f>
        <v>0</v>
      </c>
      <c r="BK89" s="1" cm="1">
        <f t="array" ref="BK89">IF(BJ89&gt;0,_xlfn.IFS(Setup!I$4=Lookups!D$109,-_xlfn.IFS($BJ89&gt;=Lookups!D$157, Lookups!F$157+($BJ89-Lookups!D$157)*Lookups!G$157,$BJ89&gt;=Lookups!D$156, Lookups!F$156+($BJ89-Lookups!D$156)*Lookups!G$156,$BJ89&gt;=Lookups!D$155, Lookups!F$155+($BJ89-Lookups!D$155)*Lookups!G$155,$BJ89&gt;=Lookups!D$154, Lookups!F$154+($BJ89-Lookups!D$154)*Lookups!G$154,$BJ89&gt;=Lookups!D$153, Lookups!F$153+($BJ89-Lookups!D$153)*Lookups!G$153,$BJ89&gt;=Lookups!D$152, Lookups!F$152+($BJ89-Lookups!D$152)*Lookups!G$152,$BJ89&lt;Lookups!D$152,$BJ89*Lookups!G$151),Setup!I$4=Lookups!D$110,-_xlfn.IFS($BJ89&gt;=Lookups!D$167, Lookups!F$167+($BJ89-Lookups!D$167)*Lookups!G$167,$BJ89&gt;=Lookups!D$166, Lookups!F$166+($BJ89-Lookups!D$166)*Lookups!G$166,$BJ89&gt;=Lookups!D$165, Lookups!F$165+($BJ89-Lookups!D$165)*Lookups!G$165,$BJ89&gt;=Lookups!D$164, Lookups!F$164+($BJ89-Lookups!D$164)*Lookups!G$164,$BJ89&gt;=Lookups!D$163, Lookups!F$163+($BJ89-Lookups!D$163)*Lookups!G$163,$BJ89&gt;=Lookups!D$162, Lookups!F$162+($BJ89-Lookups!D$162)*Lookups!G$162,$BJ89&lt;Lookups!D$162,$BJ89*Lookups!G$161),Setup!I$4=Lookups!D$111,-_xlfn.IFS($BJ89&gt;=Lookups!D$177, Lookups!F$177+($BJ89-Lookups!D$177)*Lookups!G$177,$BJ89&gt;=Lookups!D$176, Lookups!F$176+($BJ89-Lookups!D$176)*Lookups!G$176,$BJ89&gt;=Lookups!D$175, Lookups!F$175+($BJ89-Lookups!D$175)*Lookups!G$175,$BJ89&gt;=Lookups!D$174, Lookups!F$174+($BJ89-Lookups!D$174)*Lookups!G$174,$BJ89&gt;=Lookups!D$173, Lookups!F$173+($BJ89-Lookups!D$173)*Lookups!G$173,$BJ89&gt;=Lookups!D$172, Lookups!F$172+($BJ89-Lookups!D$172)*Lookups!G$172,$BJ89&lt;Lookups!D$172,$BJ89*Lookups!G$171), Setup!I$4=Lookups!D$112,-_xlfn.IFS($BJ89&gt;=Lookups!D$187, Lookups!F$187+($BJ89-Lookups!D$187)*Lookups!G$187,$BJ89&gt;=Lookups!D$186, Lookups!F$186+($BJ89-Lookups!D$186)*Lookups!G$186,$BJ89&gt;=Lookups!D$185, Lookups!F$185+($BJ89-Lookups!D$185)*Lookups!G$185,$BJ89&gt;=Lookups!D$184, Lookups!F$184+($BJ89-Lookups!D$184)*Lookups!G$184,$BJ89&gt;=Lookups!D$183, Lookups!F$183+($BJ89-Lookups!D$183)*Lookups!G$183,$BJ89&gt;=Lookups!D$182, Lookups!F$182+($BJ89-Lookups!D$182)*Lookups!G$182,$BJ89&lt;Lookups!D$182,$BJ89*Lookups!G$181)),0)</f>
        <v>0</v>
      </c>
      <c r="BL89" s="18">
        <f t="shared" si="76"/>
        <v>0</v>
      </c>
      <c r="BM89" s="134">
        <f t="shared" si="98"/>
        <v>0</v>
      </c>
      <c r="BN89" s="134" cm="1">
        <f t="array" aca="1" ref="BN89" ca="1">INDIRECT(Setup!I$6&amp;"!"&amp;"A"&amp;ROW())</f>
        <v>0</v>
      </c>
      <c r="BO89" s="134">
        <f t="shared" si="84"/>
        <v>0</v>
      </c>
      <c r="BP89" s="1">
        <f t="shared" si="77"/>
        <v>0</v>
      </c>
      <c r="BQ89" s="1">
        <f t="shared" si="85"/>
        <v>0</v>
      </c>
      <c r="BS89" s="1">
        <f t="shared" si="86"/>
        <v>0</v>
      </c>
      <c r="BT89" s="1" cm="1">
        <f t="array" ref="BT89">-IF(BS89&gt;0,_xlfn.IFS((AW89+BA89+BG89+BS89)&gt;=VLOOKUP(Setup!I$4,Lookups!C$210:E$213,3),BS89*Lookups!D$203,(AW89+BA89+BG89+BS89)&gt;=VLOOKUP(Setup!I$4,Lookups!C$210:E$213,2),BS89*Lookups!D$197,(AW89+BA89+BG89+BS89)&lt;VLOOKUP(Setup!I$4,Lookups!C$210:E$213,2),0),0)</f>
        <v>0</v>
      </c>
      <c r="BU89" s="18">
        <f t="shared" si="87"/>
        <v>0</v>
      </c>
      <c r="BV89" s="1">
        <f t="shared" si="88"/>
        <v>0</v>
      </c>
      <c r="BW89" s="1" cm="1">
        <f t="array" aca="1" ref="BW89" ca="1">INDIRECT(Setup!I$6&amp;"!"&amp;"A"&amp;ROW()+100)</f>
        <v>0</v>
      </c>
      <c r="BX89" s="1">
        <f t="shared" ca="1" si="78"/>
        <v>0</v>
      </c>
      <c r="BY89" s="1">
        <f t="shared" ca="1" si="79"/>
        <v>0</v>
      </c>
      <c r="CA89" s="1">
        <f t="shared" si="91"/>
        <v>0</v>
      </c>
      <c r="CC89" s="1" cm="1">
        <f t="array" ref="CC89">_xlfn.IFS(AND(A89&lt;$DA$4,B89&lt;$DB$4),0,AND(AND(A89&gt;=$DA$4,B89&gt;=$DB$4),AND(A89&lt;=$DA$6,B89&lt;=$DB$6),AND(BH89=0,BI89=0)),SUM(AW89,AY89:AZ89,BD89:BF89,BP89,BS89,CA89)-AQ89,AND(AND(A89&gt;=$DA$4,B89&gt;=$DB$4),AND(A89&lt;=$DA$6,B89&lt;=$DB$6)),SUM(AW89,AY89:AZ89,BD89:BF89,BS89,CA89)-AQ89,AND(OR(A89&gt;=$DA$4,B89&gt;=$DB$4),AND(BH89=0,BI89=0)),SUM(AW89,AY89:AZ89,BD89:BF89,BP89,BS89,CA89)-AP89,OR(A89&gt;=$DA$4,B89&gt;=$DB$4),SUM(AW89,AY89:AZ89,BD89:BF89,BS89,CA89)-AP89)</f>
        <v>0</v>
      </c>
      <c r="CD89" s="142" t="str">
        <f t="shared" si="89"/>
        <v/>
      </c>
    </row>
    <row r="90" spans="1:82" x14ac:dyDescent="0.3">
      <c r="A90" s="354">
        <f t="shared" si="68"/>
        <v>83</v>
      </c>
      <c r="B90" s="354">
        <f t="shared" si="69"/>
        <v>83</v>
      </c>
      <c r="C90" s="359">
        <f t="shared" si="90"/>
        <v>30317</v>
      </c>
      <c r="D90" s="326" cm="1">
        <f t="array" ref="D90">_xlfn.IFS(AND(A90&gt;DA$6,B90&gt;DB$6),0,AND(A90&gt;DA$3,A90&lt;=DA$4),D89*(1+DH$1),OR(A90&gt;DA$6,A90&gt;DA$4),(D89-BH89)*(1+DH$2),A90&lt;=DA$4,(D89*(1+DH$1))+(D$4))</f>
        <v>0</v>
      </c>
      <c r="E90" s="375"/>
      <c r="F90" s="326" cm="1">
        <f t="array" ref="F90">_xlfn.IFS(AND(A90&gt;DA$6,B90&gt;DB$6),0,AND(B90&gt;DB$3,B90&lt;=DB$4),F89*(1+DH$1),OR(B90&gt;DB$6,B90&gt;DB$4),(F89-BI89)*(1+DH$2),B90&lt;=DB$4,(F89*(1+DH$1))+(F$4))</f>
        <v>0</v>
      </c>
      <c r="G90" s="375"/>
      <c r="H90" s="1">
        <f t="shared" si="95"/>
        <v>0</v>
      </c>
      <c r="I90" s="2">
        <f t="shared" si="70"/>
        <v>0</v>
      </c>
      <c r="J90" s="14">
        <f t="shared" si="96"/>
        <v>0</v>
      </c>
      <c r="L90" s="402" cm="1">
        <f t="array" ref="L90">_xlfn.IFS(AND(A90&gt;DA$6,B90&gt;DB$6),0,A90&lt;DA$6,0,A90=DA$6,L$4,AND(A90&gt;DA$6,B90&lt;=DB$4),L89*(1+DH$1),AND(A90&gt;DA$6,B90&gt;DB$4),IF(Y89=0,0,(L89-((L89/Y89)*BY89))*(1+DH$2)))</f>
        <v>0</v>
      </c>
      <c r="M90" s="402" cm="1">
        <f t="array" ref="M90">_xlfn.IFS(AND(A90&gt;DA$6,B90&gt;DB$6),0,B90&lt;DB$6,0,B90=DB$6,M$4,AND(B90&gt;DB$6,A90&lt;=DA$4),M89*(1+DH$1),AND(A90&gt;DA$4,B90&gt;DB$6),IF(Y89=0,0,(M89-((M89/Y89)*BY89))*(1+DH$2)))</f>
        <v>0</v>
      </c>
      <c r="N90" s="327"/>
      <c r="O90" s="327" cm="1">
        <f t="array" ref="O90">_xlfn.IFS(OR(ISBLANK(Setup!C$63),Setup!C$63&gt;YEAR(C90),AND(A90&gt;DA$6,B90&gt;DB$6),ISBLANK(Y89)),0,Setup!C$63=YEAR(C90),Setup!C$62,AND(OR(A90&lt;=DA$4,B90&lt;=DB$4),Setup!C$63&lt;YEAR(C90)),O89*(1+DH$1),AND(A90&gt;DA$4,B90&gt;DB$4,Setup!C$63&lt;YEAR(C90)),IF(Y89=0,0,(O89-((O89/Y89)*BY89))*(1+DH$2)))</f>
        <v>0</v>
      </c>
      <c r="P90" s="327" cm="1">
        <f t="array" ref="P90">_xlfn.IFS(OR(ISBLANK(Setup!C$67),Setup!C$67&gt;YEAR(C90),AND(A90&gt;DA$6,B90&gt;DB$6)),0,Setup!C$67=YEAR(C90),Setup!C$66,AND(OR(A90&lt;=DA$4,B90&lt;=DB$4),Setup!C$67&lt;YEAR(C90)),P89*(1+DH$1),AND(A90&gt;DA$4,B90&gt;DB$4,Setup!C$67&lt;YEAR(C90)),IF(Y89=0,0,(P89-((P89/Y89)*BY89))*(1+DH$2)))</f>
        <v>0</v>
      </c>
      <c r="Q90" s="327" cm="1">
        <f t="array" ref="Q90">_xlfn.IFS(OR(ISBLANK(Setup!C$71),Setup!C$71&gt;YEAR(C90),AND(A90&gt;DA$6,B90&gt;DB$6)),0,Setup!C$71=YEAR(C90),Setup!C$70,AND(OR(A90&lt;=DA$4,B90&lt;=DB$4),Setup!C$71&lt;YEAR(C90)),Q89*(1+DH$1),AND(A90&gt;DA$4,B90&gt;DB$4,Setup!C$71&lt;YEAR(C90)),IF(Y89=0,0,(Q89-((Q89/Y89)*BY89))*(1+DH$2)))</f>
        <v>0</v>
      </c>
      <c r="R90" s="327" cm="1">
        <f t="array" ref="R90">_xlfn.IFS(OR(ISBLANK(Setup!C$75),Setup!C$75&gt;YEAR(C90),AND(A90&gt;DA$6,B90&gt;DB$6)),0,Setup!C$75=YEAR(C90),Setup!C$74,AND(OR(A90&lt;=DA$4,B90&lt;=DB$4),Setup!C$75&lt;YEAR(C90)),R89*(1+DH$1),AND(A90&gt;DA$4,B90&gt;DB$4,Setup!C$75&lt;YEAR(C90)),IF(Y89=0,0,(R89-((R89/Y89)*BY89))*(1+DH$2)))</f>
        <v>0</v>
      </c>
      <c r="S90" s="327"/>
      <c r="T90" s="326" cm="1">
        <f t="array" ref="T90">_xlfn.IFS(AND($A90&gt;$DA$6,$B90&gt;$DB$6),0,AND($W$2=$DA$2,$A90&gt;$DA$4),IF($Y89=0,0,(T89-((T89/$Y89)*$BY89))*(1+$DH$2)),AND($W$2=$DB$2,$B90&gt;$DB$4),IF($Y89=0,0,(T89-((T89/$Y89)*$BY89))*(1+$DH$2)),AND($W$2=$DA$2,OR($A90&gt;$DA$3,$A90&gt;$DA$6)),(T89*(1+$DH$1)),AND($W$2=$DB$2,OR($B90&gt;$DB$3,$B90&gt;$DB$6)),(T89*(1+$DH$1)),AND($W$2=$DA$2,$A90&lt;=$DA$3,$A90&lt;=$DA$4,$A90&lt;=$DA$5),(T89*(1+$DH$1))+(T$4),AND($W$2=$DB$2,$B90&lt;=$DB$3,$B90&lt;=$DB$4,$B90&lt;=$DB$5),(T89*(1+$DH$1))+(T$4))</f>
        <v>0</v>
      </c>
      <c r="U90" s="326" cm="1">
        <f t="array" ref="U90">_xlfn.IFS(AND($A90&gt;$DA$6,$B90&gt;$DB$6),0,AND($W$2=$DA$2,$A90&gt;$DA$4),IF($Y89=0,0,(U89-((U89/$Y89)*$BY89))*(1+$DH$2)),AND($W$2=$DB$2,$B90&gt;$DB$4),IF($Y89=0,0,(U89-((U89/$Y89)*$BY89))*(1+$DH$2)),AND($W$2=$DA$2,OR($A90&gt;$DA$3,$A90&gt;$DA$6)),(U89*(1+$DH$1)),AND($W$2=$DB$2,OR($B90&gt;$DB$3,$B90&gt;$DB$6)),(U89*(1+$DH$1)),AND($W$2=$DA$2,$A90&lt;=$DA$3,$A90&lt;=$DA$4,$A90&lt;=$DA$5),(U89*(1+$DH$1))+(U$4),AND($W$2=$DB$2,$B90&lt;=$DB$3,$B90&lt;=$DB$4,$B90&lt;=$DB$5),(U89*(1+$DH$1))+(U$4))</f>
        <v>0</v>
      </c>
      <c r="V90" s="326" cm="1">
        <f t="array" ref="V90">_xlfn.IFS(AND($A90&gt;$DA$6,$B90&gt;$DB$6),0,AND($W$2=$DA$2,$A90&gt;$DA$4),IF($Y89=0,0,(V89-((V89/$Y89)*$BY89))*(1+$DH$2)),AND($W$2=$DB$2,$B90&gt;$DB$4),IF($Y89=0,0,(V89-((V89/$Y89)*$BY89))*(1+$DH$2)),AND($W$2=$DA$2,OR($A90&gt;$DA$3,$A90&gt;$DA$6)),(V89*(1+$DH$1)),AND($W$2=$DB$2,OR($B90&gt;$DB$3,$B90&gt;$DB$6)),(V89*(1+$DH$1)),AND($W$2=$DA$2,$A90&lt;=$DA$3,$A90&lt;=$DA$4,$A90&lt;=$DA$5),(V89*(1+$DH$1))+(V$4),AND($W$2=$DB$2,$B90&lt;=$DB$3,$B90&lt;=$DB$4,$B90&lt;=$DB$5),(V89*(1+$DH$1))+(V$4))</f>
        <v>0</v>
      </c>
      <c r="W90" s="326" cm="1">
        <f t="array" ref="W90">_xlfn.IFS(AND($A90&gt;$DA$6,$B90&gt;$DB$6),0,AND($W$2=$DA$2,$A90&gt;$DA$4),IF($Y89=0,0,(W89-((W89/$Y89)*$BY89))*(1+$DH$2)),AND($W$2=$DB$2,$B90&gt;$DB$4),IF($Y89=0,0,(W89-((W89/$Y89)*$BY89))*(1+$DH$2)),AND($W$2=$DA$2,OR($A90&gt;$DA$3,$A90&gt;$DA$6)),(W89*(1+$DH$1)),AND($W$2=$DB$2,OR($B90&gt;$DB$3,$B90&gt;$DB$6)),(W89*(1+$DH$1)),AND($W$2=$DA$2,$A90&lt;=$DA$3,$A90&lt;=$DA$4,$A90&lt;=$DA$5),(W89*(1+$DH$1))+(W$4),AND($W$2=$DB$2,$B90&lt;=$DB$3,$B90&lt;=$DB$4,$B90&lt;=$DB$5),(W89*(1+$DH$1))+(W$4))</f>
        <v>0</v>
      </c>
      <c r="Y90" s="1">
        <f t="shared" si="80"/>
        <v>0</v>
      </c>
      <c r="Z90" s="2">
        <f t="shared" si="71"/>
        <v>0</v>
      </c>
      <c r="AA90" s="375"/>
      <c r="AC90" s="326" cm="1">
        <f t="array" ref="AC90">_xlfn.IFS(AND(A90&gt;DA$6,B90&gt;DB$6),0,AND(A90&gt;DA$4,B90&gt;DB$4),IF(AG89=0,0,(AC89-((AC89/AG89)*CA89))*(1+DH$2)),OR(A90&gt;DA$3,A90&gt;DA$6),AC89*(1+DH$1),A90&gt;DA$4,(AC89-CA89)*(1+DH$2),AND(A90&lt;=DA$3,A90&lt;=DA$4,A90&lt;=DA$6),(AC89*(1+DH$1))+(AC$4))</f>
        <v>0</v>
      </c>
      <c r="AD90" s="375"/>
      <c r="AE90" s="326" cm="1">
        <f t="array" ref="AE90">_xlfn.IFS(AND(A90&gt;DA$6,B90&gt;DB$6),0,AND(A90&gt;DA$4,B90&gt;DB$4),IF(AG89=0,0,(AE89-((AE89/AG89)*CA89))*(1+DH$2)),OR(B90&gt;DB$3,B90&gt;DB$6),AE89*(1+DH$1),B90&gt;DB$4,(AE89-CA89)*(1+DH$2),AND(B90&lt;=DB$3,B90&lt;=DB$4,B90&lt;=DB$6),(AE89*(1+DH$1))+(AE$4))</f>
        <v>0</v>
      </c>
      <c r="AF90" s="375"/>
      <c r="AG90" s="1">
        <f t="shared" si="92"/>
        <v>0</v>
      </c>
      <c r="AH90" s="2">
        <f t="shared" si="81"/>
        <v>0</v>
      </c>
      <c r="AI90" s="14">
        <f t="shared" si="72"/>
        <v>0</v>
      </c>
      <c r="AK90" s="1">
        <f t="shared" si="82"/>
        <v>0</v>
      </c>
      <c r="AL90" s="14">
        <f t="shared" si="73"/>
        <v>0</v>
      </c>
      <c r="AM90" s="14" t="str">
        <f t="shared" si="97"/>
        <v/>
      </c>
      <c r="AO90" s="15">
        <f t="shared" si="74"/>
        <v>0</v>
      </c>
      <c r="AP90" s="1">
        <f>IF(AND(B90&gt;=$DB$6,A90&gt;=$DA$6),0,AP89*(1+Lookups!C$12))</f>
        <v>0</v>
      </c>
      <c r="AQ90" s="1">
        <f>IF(AND(B90&gt;=$DB$6,A90&gt;=$DA$6),0,AQ89*(1+Lookups!C$12))</f>
        <v>0</v>
      </c>
      <c r="AS90" s="1" cm="1">
        <f t="array" ref="AS90">_xlfn.IFS(OR(AS$6="",AND(A90&gt;=DA$6,B90&gt;=DB$6),AND(A90&lt;DA$4,B90&lt;DB$4)),0,AND(A90=DA$4,DA$4&lt;=DB$4),AS$6,AND(B90=DB$4,DA$4&gt;=DB$4),AS$6,OR(A90&gt;DA$4,B90&gt;DB$4),AS89*(1+Setup!C$103))</f>
        <v>0</v>
      </c>
      <c r="AT90" s="1" cm="1">
        <f t="array" ref="AT90">_xlfn.IFS(OR(AT$6="",AND(A90&gt;=DA$6,B90&gt;=DB$6),AND(A90&lt;DA$4,B90&lt;DB$4)),0,AND(A90=DA$4,DA$4&lt;=DB$4),AT$6,AND(B90=DB$4,DA$4&gt;=DB$4),AT$6,OR(A90&gt;DA$4,B90&gt;DB$4),AT89*(1+Setup!C$103))</f>
        <v>0</v>
      </c>
      <c r="AU90" s="1" cm="1">
        <f t="array" ref="AU90">_xlfn.IFS(OR(AU$6="",AND(A90&gt;=DA$6,B90&gt;=DB$6),AND(A90&lt;DA$4,B90&lt;DB$4)),0,AND(A90=DA$4,DA$4&lt;=DB$4),AU$6,AND(B90=DB$4,DA$4&gt;=DB$4),AU$6,OR(A90&gt;DA$4,B90&gt;DB$4),AU89*(1+Setup!C$103))</f>
        <v>0</v>
      </c>
      <c r="AV90" s="1" cm="1">
        <f t="array" ref="AV90">_xlfn.IFS(OR(AV$6="",AND(A90&gt;=DA$6,B90&gt;=DB$6),AND(A90&lt;DA$4,B90&lt;DB$4)),0,AND(A90=DA$4,DA$4&lt;=DB$4),AV$6,AND(B90=DB$4,DA$4&gt;=DB$4),AV$6,OR(A90&gt;DA$4,B90&gt;DB$4),AV89*(1+Setup!C$103))</f>
        <v>0</v>
      </c>
      <c r="AW90" s="1">
        <f t="shared" si="75"/>
        <v>0</v>
      </c>
      <c r="AY90" s="1" cm="1">
        <f t="array" ref="AY90">_xlfn.IFS(OR(AND(A90&gt;=DA$6,B90&gt;=DB$6),A90&lt;DA$5),0,AND(A90=DA$5,YEAR(C90)&gt;=Lookups!D$89),VLOOKUP(A90,Lookups!B$94:F$102,3),AND(A90=DA$5,YEAR(C90)&lt;Lookups!D$89),VLOOKUP(A90,Lookups!B$94:F$102,2),AND(A90&gt;DA$5,YEAR(C90)=Lookups!D$89),(AY89*Lookups!D$90)*(1+Lookups!C$20),AND(A90&gt;DA$5,YEAR(C90)&lt;&gt;Lookups!D$89),AY89*(1+Lookups!C$20))</f>
        <v>0</v>
      </c>
      <c r="AZ90" s="1" cm="1">
        <f t="array" ref="AZ90">_xlfn.IFS(OR(ISBLANK(Setup!K$91),Setup!K$91=0,AND(A90&gt;=DA$6,B90&gt;=DB$6),B90&lt;DB$5),0,AND(B90=DB$5,YEAR(C90)&gt;=Lookups!D$89),VLOOKUP(B90,Lookups!B$94:F$102,5),AND(B90=DB$5,YEAR(C90)&lt;Lookups!D$89),VLOOKUP(B90,Lookups!B$94:F$102,4),AND(B90&gt;DB$5,YEAR(C90)=Lookups!D$89),(AZ89*Lookups!D$90)*(1+Lookups!C$20),AND(B90&gt;DB$5,YEAR(C90)&lt;&gt;Lookups!D$89),AZ89*(1+Lookups!C$20))</f>
        <v>0</v>
      </c>
      <c r="BA90" s="65">
        <f>IF(OR(AY90&gt;0,AZ90&gt;0),(AY90+AZ90)*Lookups!D$120,0)</f>
        <v>0</v>
      </c>
      <c r="BB90" s="1" cm="1">
        <f t="array" ref="BB90">_xlfn.IFS(AND(A90&lt;DA$4,B90&lt;DB$4),0,OR(_xlfn.XOR(A90&gt;DA$6,B90&gt;DB$6),_xlfn.XOR(A90&gt;=DA$4,B90&gt;=DB$4)),IF(AP90-SUM(AW90,AY90:AZ90)&gt;0,AP90-SUM(AW90,AY90:AZ90),0),AQ90-SUM(AW90,AY90:AZ90)&gt;0, AQ90-SUM(AW90,AY90:AZ90),AQ90-SUM(AW90,AY90:AZ90)&lt;=0,0)</f>
        <v>0</v>
      </c>
      <c r="BD90" s="1" cm="1">
        <f t="array" ref="BD90">_xlfn.IFS(AND(A90&gt;=DA$6,B90&gt;=DB$6),0,AND(A90&gt;=DA$6,B90&gt;=Lookups!C$35),D90/VLOOKUP(B90,Lookups!C$37:D$67,2),A90&lt;Lookups!$C$35,0,A90&gt;=Lookups!C$35,D90/VLOOKUP(A90,Lookups!C$37:D$67,2))</f>
        <v>0</v>
      </c>
      <c r="BE90" s="1" cm="1">
        <f t="array" ref="BE90">_xlfn.IFS(AND(A90&gt;=DA$6,B90&gt;=DB$6),0,AND(B90&gt;=DB$6,A90&gt;=Lookups!C$35),F90/VLOOKUP(A90,Lookups!C$37:D$67,2),B90&lt;Lookups!$C$35,0,B90&gt;=Lookups!C$35,F90/VLOOKUP(B90,Lookups!C$37:D$67,2))</f>
        <v>0</v>
      </c>
      <c r="BF90" s="1" cm="1">
        <f t="array" ref="BF90">_xlfn.IFS($BB90&lt;=0,0,AND(A90&gt;=DA$4,B90&gt;=DB$4,$BB90*I90&lt;(BD90+BE90)),0,AND(A90&gt;=DA$4,B90&gt;=DB$4,H90&gt;=(BB90*I90)-BD90-BE90),(BB90*I90)-BD90-BE90,AND(A90&gt;=DA$4,B90&gt;=DB$4,H90&lt;(BB90*I90)-BD90-BE90),H90,AND(A90&gt;=DA$4,$BB90*I90&lt;(BD90)),0,AND(A90&gt;=DA$4,H90&gt;=(BB90*I90)-BD90),(BB90*I90)-BD90,AND(A90&gt;=DA$4,H90&lt;(BB90*I90)-BD90),H90,AND(B90&gt;=DB$4,$BB90*I90&lt;(BE90)),0,AND(B90&gt;=DB$4,H90&gt;=(BB90*I90)-BE90),(BB90*I90)-BE90,AND(B90&gt;=DB$4,H90&lt;(BB90*I90)-BE90),H90)</f>
        <v>0</v>
      </c>
      <c r="BG90" s="1">
        <f t="shared" si="66"/>
        <v>0</v>
      </c>
      <c r="BH90" s="1" cm="1">
        <f t="array" ref="BH90">_xlfn.IFS(OR(D90=0,A90&lt;DA$4),0,AND(A90&gt;=DA$4,B90&gt;=DB$4,D90&lt;BD90+($BF90*(D90/$H90))+(-$BP90*(D90/$H90))),D90,AND(A90&gt;=DA$4,B90&gt;=DB$4,$BB90&gt;$BG90),BD90+($BF90*(D90/$H90))+(-$BP90*(D90/$H90)),AND(A90&gt;=DA$4,B90&gt;=DB$4,OR(A90&gt;DA$6, B90&gt;DB$6),$AP90-SUM($AW90,$AY90:$AZ90)&lt;0),BD90+($BF90*(D90/$H90))+(-$BP90*(D90/$H90))+(BP90*(D90/$H90)),AND(A90&gt;=DA$4,B90&gt;=DB$4,$AQ90-SUM($AW90,$AY90:$AZ90)&lt;0),BD90+($BF90*(D90/$H90))+(-$BP90*(D90/$H90))+(BP90*(D90/$H90)),AND(A90&gt;=DA$4,D90&lt;BD90+$BF90-$BP90),D90,AND(A90&gt;=DA$4,$AP90-SUM($AW90,$AY90:$AZ90)&lt;0),BD90+($BF90*(D90/$H90))+(-$BP90*(D90/$H90))+(BP90*(D90/$H90)),A90&gt;=DA$4,BD90+$BF90-$BP90)</f>
        <v>0</v>
      </c>
      <c r="BI90" s="1" cm="1">
        <f t="array" ref="BI90">_xlfn.IFS(OR(F90=0,B90&lt;DB$4),0,AND(A90&gt;=DA$4,B90&gt;=DB$4,F90&lt;BE90+($BF90*(F90/$H90))+(-$BP90*(F90/$H90))),F90,AND(A90&gt;=DA$4,B90&gt;=DB$4,$BB90&gt;$BG90),BE90+($BF90*(F90/$H90))+(-$BP90*(F90/$H90)),AND(A90&gt;=DA$4,B90&gt;=DB$4,OR(A90&gt;DA$6, B90&gt;DB$6),$AP90-SUM($AW90,$AY90:$AZ90)&lt;0),BE90+($BF90*(F90/$H90))+(-$BP90*(F90/$H90))+(BP90*(F90/$H90)),AND(A90&gt;=DA$4,B90&gt;=DB$4,$AQ90-SUM($AW90,$AY90:$AZ90)&lt;0),BE90+($BF90*(F90/$H90))+(-$BP90*(F90/$H90))+(BP90*(F90/$H90)),AND(B90&gt;=DB$4,F90&lt;BE90+$BF90-$BP90),F90,AND(B90&gt;=DB$4,$AP90-SUM($AW90,$AY90:$AZ90)&lt;0),BE90+($BF90*(F90/$H90))+(-$BP90*(F90/$H90))+(BP90*(F90/$H90)),B90&gt;=DB$4,BE90+$BF90-$BP90)</f>
        <v>0</v>
      </c>
      <c r="BJ90" s="64" cm="1">
        <f t="array" ref="BJ90">IF(AW90+BA90+BG90&gt;0, AW90+BA90+BG90-_xlfn.IFS(AND(A90&gt;=65,B90&gt;=65),VLOOKUP(Setup!I$4,Lookups!C$133:F$136,4),OR(A90&gt;=65,B90&gt;=65),VLOOKUP(Setup!I$4,Lookups!C$133:E$136,3),AND(A90&lt;65,B90&lt;65),VLOOKUP(Setup!I$4,Lookups!C$133:D$136,2)),0)</f>
        <v>0</v>
      </c>
      <c r="BK90" s="1" cm="1">
        <f t="array" ref="BK90">IF(BJ90&gt;0,_xlfn.IFS(Setup!I$4=Lookups!D$109,-_xlfn.IFS($BJ90&gt;=Lookups!D$157, Lookups!F$157+($BJ90-Lookups!D$157)*Lookups!G$157,$BJ90&gt;=Lookups!D$156, Lookups!F$156+($BJ90-Lookups!D$156)*Lookups!G$156,$BJ90&gt;=Lookups!D$155, Lookups!F$155+($BJ90-Lookups!D$155)*Lookups!G$155,$BJ90&gt;=Lookups!D$154, Lookups!F$154+($BJ90-Lookups!D$154)*Lookups!G$154,$BJ90&gt;=Lookups!D$153, Lookups!F$153+($BJ90-Lookups!D$153)*Lookups!G$153,$BJ90&gt;=Lookups!D$152, Lookups!F$152+($BJ90-Lookups!D$152)*Lookups!G$152,$BJ90&lt;Lookups!D$152,$BJ90*Lookups!G$151),Setup!I$4=Lookups!D$110,-_xlfn.IFS($BJ90&gt;=Lookups!D$167, Lookups!F$167+($BJ90-Lookups!D$167)*Lookups!G$167,$BJ90&gt;=Lookups!D$166, Lookups!F$166+($BJ90-Lookups!D$166)*Lookups!G$166,$BJ90&gt;=Lookups!D$165, Lookups!F$165+($BJ90-Lookups!D$165)*Lookups!G$165,$BJ90&gt;=Lookups!D$164, Lookups!F$164+($BJ90-Lookups!D$164)*Lookups!G$164,$BJ90&gt;=Lookups!D$163, Lookups!F$163+($BJ90-Lookups!D$163)*Lookups!G$163,$BJ90&gt;=Lookups!D$162, Lookups!F$162+($BJ90-Lookups!D$162)*Lookups!G$162,$BJ90&lt;Lookups!D$162,$BJ90*Lookups!G$161),Setup!I$4=Lookups!D$111,-_xlfn.IFS($BJ90&gt;=Lookups!D$177, Lookups!F$177+($BJ90-Lookups!D$177)*Lookups!G$177,$BJ90&gt;=Lookups!D$176, Lookups!F$176+($BJ90-Lookups!D$176)*Lookups!G$176,$BJ90&gt;=Lookups!D$175, Lookups!F$175+($BJ90-Lookups!D$175)*Lookups!G$175,$BJ90&gt;=Lookups!D$174, Lookups!F$174+($BJ90-Lookups!D$174)*Lookups!G$174,$BJ90&gt;=Lookups!D$173, Lookups!F$173+($BJ90-Lookups!D$173)*Lookups!G$173,$BJ90&gt;=Lookups!D$172, Lookups!F$172+($BJ90-Lookups!D$172)*Lookups!G$172,$BJ90&lt;Lookups!D$172,$BJ90*Lookups!G$171), Setup!I$4=Lookups!D$112,-_xlfn.IFS($BJ90&gt;=Lookups!D$187, Lookups!F$187+($BJ90-Lookups!D$187)*Lookups!G$187,$BJ90&gt;=Lookups!D$186, Lookups!F$186+($BJ90-Lookups!D$186)*Lookups!G$186,$BJ90&gt;=Lookups!D$185, Lookups!F$185+($BJ90-Lookups!D$185)*Lookups!G$185,$BJ90&gt;=Lookups!D$184, Lookups!F$184+($BJ90-Lookups!D$184)*Lookups!G$184,$BJ90&gt;=Lookups!D$183, Lookups!F$183+($BJ90-Lookups!D$183)*Lookups!G$183,$BJ90&gt;=Lookups!D$182, Lookups!F$182+($BJ90-Lookups!D$182)*Lookups!G$182,$BJ90&lt;Lookups!D$182,$BJ90*Lookups!G$181)),0)</f>
        <v>0</v>
      </c>
      <c r="BL90" s="18">
        <f t="shared" si="76"/>
        <v>0</v>
      </c>
      <c r="BM90" s="134">
        <f t="shared" si="98"/>
        <v>0</v>
      </c>
      <c r="BN90" s="134" cm="1">
        <f t="array" aca="1" ref="BN90" ca="1">INDIRECT(Setup!I$6&amp;"!"&amp;"A"&amp;ROW())</f>
        <v>0</v>
      </c>
      <c r="BO90" s="134">
        <f t="shared" si="84"/>
        <v>0</v>
      </c>
      <c r="BP90" s="1">
        <f t="shared" si="77"/>
        <v>0</v>
      </c>
      <c r="BQ90" s="1">
        <f t="shared" si="85"/>
        <v>0</v>
      </c>
      <c r="BS90" s="1">
        <f t="shared" si="86"/>
        <v>0</v>
      </c>
      <c r="BT90" s="1" cm="1">
        <f t="array" ref="BT90">-IF(BS90&gt;0,_xlfn.IFS((AW90+BA90+BG90+BS90)&gt;=VLOOKUP(Setup!I$4,Lookups!C$210:E$213,3),BS90*Lookups!D$203,(AW90+BA90+BG90+BS90)&gt;=VLOOKUP(Setup!I$4,Lookups!C$210:E$213,2),BS90*Lookups!D$197,(AW90+BA90+BG90+BS90)&lt;VLOOKUP(Setup!I$4,Lookups!C$210:E$213,2),0),0)</f>
        <v>0</v>
      </c>
      <c r="BU90" s="18">
        <f t="shared" si="87"/>
        <v>0</v>
      </c>
      <c r="BV90" s="1">
        <f t="shared" si="88"/>
        <v>0</v>
      </c>
      <c r="BW90" s="1" cm="1">
        <f t="array" aca="1" ref="BW90" ca="1">INDIRECT(Setup!I$6&amp;"!"&amp;"A"&amp;ROW()+100)</f>
        <v>0</v>
      </c>
      <c r="BX90" s="1">
        <f t="shared" ca="1" si="78"/>
        <v>0</v>
      </c>
      <c r="BY90" s="1">
        <f t="shared" ca="1" si="79"/>
        <v>0</v>
      </c>
      <c r="CA90" s="1">
        <f t="shared" si="91"/>
        <v>0</v>
      </c>
      <c r="CC90" s="1" cm="1">
        <f t="array" ref="CC90">_xlfn.IFS(AND(A90&lt;$DA$4,B90&lt;$DB$4),0,AND(AND(A90&gt;=$DA$4,B90&gt;=$DB$4),AND(A90&lt;=$DA$6,B90&lt;=$DB$6),AND(BH90=0,BI90=0)),SUM(AW90,AY90:AZ90,BD90:BF90,BP90,BS90,CA90)-AQ90,AND(AND(A90&gt;=$DA$4,B90&gt;=$DB$4),AND(A90&lt;=$DA$6,B90&lt;=$DB$6)),SUM(AW90,AY90:AZ90,BD90:BF90,BS90,CA90)-AQ90,AND(OR(A90&gt;=$DA$4,B90&gt;=$DB$4),AND(BH90=0,BI90=0)),SUM(AW90,AY90:AZ90,BD90:BF90,BP90,BS90,CA90)-AP90,OR(A90&gt;=$DA$4,B90&gt;=$DB$4),SUM(AW90,AY90:AZ90,BD90:BF90,BS90,CA90)-AP90)</f>
        <v>0</v>
      </c>
      <c r="CD90" s="142" t="str">
        <f t="shared" si="89"/>
        <v/>
      </c>
    </row>
    <row r="91" spans="1:82" x14ac:dyDescent="0.3">
      <c r="A91" s="354">
        <f t="shared" si="68"/>
        <v>84</v>
      </c>
      <c r="B91" s="354">
        <f t="shared" si="69"/>
        <v>84</v>
      </c>
      <c r="C91" s="359">
        <f t="shared" si="90"/>
        <v>30682</v>
      </c>
      <c r="D91" s="326" cm="1">
        <f t="array" ref="D91">_xlfn.IFS(AND(A91&gt;DA$6,B91&gt;DB$6),0,AND(A91&gt;DA$3,A91&lt;=DA$4),D90*(1+DH$1),OR(A91&gt;DA$6,A91&gt;DA$4),(D90-BH90)*(1+DH$2),A91&lt;=DA$4,(D90*(1+DH$1))+(D$4))</f>
        <v>0</v>
      </c>
      <c r="E91" s="375"/>
      <c r="F91" s="326" cm="1">
        <f t="array" ref="F91">_xlfn.IFS(AND(A91&gt;DA$6,B91&gt;DB$6),0,AND(B91&gt;DB$3,B91&lt;=DB$4),F90*(1+DH$1),OR(B91&gt;DB$6,B91&gt;DB$4),(F90-BI90)*(1+DH$2),B91&lt;=DB$4,(F90*(1+DH$1))+(F$4))</f>
        <v>0</v>
      </c>
      <c r="G91" s="375"/>
      <c r="H91" s="1">
        <f t="shared" si="95"/>
        <v>0</v>
      </c>
      <c r="I91" s="2">
        <f t="shared" si="70"/>
        <v>0</v>
      </c>
      <c r="J91" s="14">
        <f t="shared" si="96"/>
        <v>0</v>
      </c>
      <c r="L91" s="402" cm="1">
        <f t="array" ref="L91">_xlfn.IFS(AND(A91&gt;DA$6,B91&gt;DB$6),0,A91&lt;DA$6,0,A91=DA$6,L$4,AND(A91&gt;DA$6,B91&lt;=DB$4),L90*(1+DH$1),AND(A91&gt;DA$6,B91&gt;DB$4),IF(Y90=0,0,(L90-((L90/Y90)*BY90))*(1+DH$2)))</f>
        <v>0</v>
      </c>
      <c r="M91" s="402" cm="1">
        <f t="array" ref="M91">_xlfn.IFS(AND(A91&gt;DA$6,B91&gt;DB$6),0,B91&lt;DB$6,0,B91=DB$6,M$4,AND(B91&gt;DB$6,A91&lt;=DA$4),M90*(1+DH$1),AND(A91&gt;DA$4,B91&gt;DB$6),IF(Y90=0,0,(M90-((M90/Y90)*BY90))*(1+DH$2)))</f>
        <v>0</v>
      </c>
      <c r="N91" s="327"/>
      <c r="O91" s="327" cm="1">
        <f t="array" ref="O91">_xlfn.IFS(OR(ISBLANK(Setup!C$63),Setup!C$63&gt;YEAR(C91),AND(A91&gt;DA$6,B91&gt;DB$6),ISBLANK(Y90)),0,Setup!C$63=YEAR(C91),Setup!C$62,AND(OR(A91&lt;=DA$4,B91&lt;=DB$4),Setup!C$63&lt;YEAR(C91)),O90*(1+DH$1),AND(A91&gt;DA$4,B91&gt;DB$4,Setup!C$63&lt;YEAR(C91)),IF(Y90=0,0,(O90-((O90/Y90)*BY90))*(1+DH$2)))</f>
        <v>0</v>
      </c>
      <c r="P91" s="327" cm="1">
        <f t="array" ref="P91">_xlfn.IFS(OR(ISBLANK(Setup!C$67),Setup!C$67&gt;YEAR(C91),AND(A91&gt;DA$6,B91&gt;DB$6)),0,Setup!C$67=YEAR(C91),Setup!C$66,AND(OR(A91&lt;=DA$4,B91&lt;=DB$4),Setup!C$67&lt;YEAR(C91)),P90*(1+DH$1),AND(A91&gt;DA$4,B91&gt;DB$4,Setup!C$67&lt;YEAR(C91)),IF(Y90=0,0,(P90-((P90/Y90)*BY90))*(1+DH$2)))</f>
        <v>0</v>
      </c>
      <c r="Q91" s="327" cm="1">
        <f t="array" ref="Q91">_xlfn.IFS(OR(ISBLANK(Setup!C$71),Setup!C$71&gt;YEAR(C91),AND(A91&gt;DA$6,B91&gt;DB$6)),0,Setup!C$71=YEAR(C91),Setup!C$70,AND(OR(A91&lt;=DA$4,B91&lt;=DB$4),Setup!C$71&lt;YEAR(C91)),Q90*(1+DH$1),AND(A91&gt;DA$4,B91&gt;DB$4,Setup!C$71&lt;YEAR(C91)),IF(Y90=0,0,(Q90-((Q90/Y90)*BY90))*(1+DH$2)))</f>
        <v>0</v>
      </c>
      <c r="R91" s="327" cm="1">
        <f t="array" ref="R91">_xlfn.IFS(OR(ISBLANK(Setup!C$75),Setup!C$75&gt;YEAR(C91),AND(A91&gt;DA$6,B91&gt;DB$6)),0,Setup!C$75=YEAR(C91),Setup!C$74,AND(OR(A91&lt;=DA$4,B91&lt;=DB$4),Setup!C$75&lt;YEAR(C91)),R90*(1+DH$1),AND(A91&gt;DA$4,B91&gt;DB$4,Setup!C$75&lt;YEAR(C91)),IF(Y90=0,0,(R90-((R90/Y90)*BY90))*(1+DH$2)))</f>
        <v>0</v>
      </c>
      <c r="S91" s="327"/>
      <c r="T91" s="326" cm="1">
        <f t="array" ref="T91">_xlfn.IFS(AND($A91&gt;$DA$6,$B91&gt;$DB$6),0,AND($W$2=$DA$2,$A91&gt;$DA$4),IF($Y90=0,0,(T90-((T90/$Y90)*$BY90))*(1+$DH$2)),AND($W$2=$DB$2,$B91&gt;$DB$4),IF($Y90=0,0,(T90-((T90/$Y90)*$BY90))*(1+$DH$2)),AND($W$2=$DA$2,OR($A91&gt;$DA$3,$A91&gt;$DA$6)),(T90*(1+$DH$1)),AND($W$2=$DB$2,OR($B91&gt;$DB$3,$B91&gt;$DB$6)),(T90*(1+$DH$1)),AND($W$2=$DA$2,$A91&lt;=$DA$3,$A91&lt;=$DA$4,$A91&lt;=$DA$5),(T90*(1+$DH$1))+(T$4),AND($W$2=$DB$2,$B91&lt;=$DB$3,$B91&lt;=$DB$4,$B91&lt;=$DB$5),(T90*(1+$DH$1))+(T$4))</f>
        <v>0</v>
      </c>
      <c r="U91" s="326" cm="1">
        <f t="array" ref="U91">_xlfn.IFS(AND($A91&gt;$DA$6,$B91&gt;$DB$6),0,AND($W$2=$DA$2,$A91&gt;$DA$4),IF($Y90=0,0,(U90-((U90/$Y90)*$BY90))*(1+$DH$2)),AND($W$2=$DB$2,$B91&gt;$DB$4),IF($Y90=0,0,(U90-((U90/$Y90)*$BY90))*(1+$DH$2)),AND($W$2=$DA$2,OR($A91&gt;$DA$3,$A91&gt;$DA$6)),(U90*(1+$DH$1)),AND($W$2=$DB$2,OR($B91&gt;$DB$3,$B91&gt;$DB$6)),(U90*(1+$DH$1)),AND($W$2=$DA$2,$A91&lt;=$DA$3,$A91&lt;=$DA$4,$A91&lt;=$DA$5),(U90*(1+$DH$1))+(U$4),AND($W$2=$DB$2,$B91&lt;=$DB$3,$B91&lt;=$DB$4,$B91&lt;=$DB$5),(U90*(1+$DH$1))+(U$4))</f>
        <v>0</v>
      </c>
      <c r="V91" s="326" cm="1">
        <f t="array" ref="V91">_xlfn.IFS(AND($A91&gt;$DA$6,$B91&gt;$DB$6),0,AND($W$2=$DA$2,$A91&gt;$DA$4),IF($Y90=0,0,(V90-((V90/$Y90)*$BY90))*(1+$DH$2)),AND($W$2=$DB$2,$B91&gt;$DB$4),IF($Y90=0,0,(V90-((V90/$Y90)*$BY90))*(1+$DH$2)),AND($W$2=$DA$2,OR($A91&gt;$DA$3,$A91&gt;$DA$6)),(V90*(1+$DH$1)),AND($W$2=$DB$2,OR($B91&gt;$DB$3,$B91&gt;$DB$6)),(V90*(1+$DH$1)),AND($W$2=$DA$2,$A91&lt;=$DA$3,$A91&lt;=$DA$4,$A91&lt;=$DA$5),(V90*(1+$DH$1))+(V$4),AND($W$2=$DB$2,$B91&lt;=$DB$3,$B91&lt;=$DB$4,$B91&lt;=$DB$5),(V90*(1+$DH$1))+(V$4))</f>
        <v>0</v>
      </c>
      <c r="W91" s="326" cm="1">
        <f t="array" ref="W91">_xlfn.IFS(AND($A91&gt;$DA$6,$B91&gt;$DB$6),0,AND($W$2=$DA$2,$A91&gt;$DA$4),IF($Y90=0,0,(W90-((W90/$Y90)*$BY90))*(1+$DH$2)),AND($W$2=$DB$2,$B91&gt;$DB$4),IF($Y90=0,0,(W90-((W90/$Y90)*$BY90))*(1+$DH$2)),AND($W$2=$DA$2,OR($A91&gt;$DA$3,$A91&gt;$DA$6)),(W90*(1+$DH$1)),AND($W$2=$DB$2,OR($B91&gt;$DB$3,$B91&gt;$DB$6)),(W90*(1+$DH$1)),AND($W$2=$DA$2,$A91&lt;=$DA$3,$A91&lt;=$DA$4,$A91&lt;=$DA$5),(W90*(1+$DH$1))+(W$4),AND($W$2=$DB$2,$B91&lt;=$DB$3,$B91&lt;=$DB$4,$B91&lt;=$DB$5),(W90*(1+$DH$1))+(W$4))</f>
        <v>0</v>
      </c>
      <c r="Y91" s="1">
        <f t="shared" si="80"/>
        <v>0</v>
      </c>
      <c r="Z91" s="2">
        <f t="shared" si="71"/>
        <v>0</v>
      </c>
      <c r="AA91" s="375"/>
      <c r="AC91" s="326" cm="1">
        <f t="array" ref="AC91">_xlfn.IFS(AND(A91&gt;DA$6,B91&gt;DB$6),0,AND(A91&gt;DA$4,B91&gt;DB$4),IF(AG90=0,0,(AC90-((AC90/AG90)*CA90))*(1+DH$2)),OR(A91&gt;DA$3,A91&gt;DA$6),AC90*(1+DH$1),A91&gt;DA$4,(AC90-CA90)*(1+DH$2),AND(A91&lt;=DA$3,A91&lt;=DA$4,A91&lt;=DA$6),(AC90*(1+DH$1))+(AC$4))</f>
        <v>0</v>
      </c>
      <c r="AD91" s="375"/>
      <c r="AE91" s="326" cm="1">
        <f t="array" ref="AE91">_xlfn.IFS(AND(A91&gt;DA$6,B91&gt;DB$6),0,AND(A91&gt;DA$4,B91&gt;DB$4),IF(AG90=0,0,(AE90-((AE90/AG90)*CA90))*(1+DH$2)),OR(B91&gt;DB$3,B91&gt;DB$6),AE90*(1+DH$1),B91&gt;DB$4,(AE90-CA90)*(1+DH$2),AND(B91&lt;=DB$3,B91&lt;=DB$4,B91&lt;=DB$6),(AE90*(1+DH$1))+(AE$4))</f>
        <v>0</v>
      </c>
      <c r="AF91" s="375"/>
      <c r="AG91" s="1">
        <f t="shared" si="92"/>
        <v>0</v>
      </c>
      <c r="AH91" s="2">
        <f t="shared" si="81"/>
        <v>0</v>
      </c>
      <c r="AI91" s="14">
        <f t="shared" si="72"/>
        <v>0</v>
      </c>
      <c r="AK91" s="1">
        <f t="shared" si="82"/>
        <v>0</v>
      </c>
      <c r="AL91" s="14">
        <f t="shared" si="73"/>
        <v>0</v>
      </c>
      <c r="AM91" s="14" t="str">
        <f t="shared" si="97"/>
        <v/>
      </c>
      <c r="AO91" s="15">
        <f t="shared" si="74"/>
        <v>0</v>
      </c>
      <c r="AP91" s="1">
        <f>IF(AND(B91&gt;=$DB$6,A91&gt;=$DA$6),0,AP90*(1+Lookups!C$12))</f>
        <v>0</v>
      </c>
      <c r="AQ91" s="1">
        <f>IF(AND(B91&gt;=$DB$6,A91&gt;=$DA$6),0,AQ90*(1+Lookups!C$12))</f>
        <v>0</v>
      </c>
      <c r="AS91" s="1" cm="1">
        <f t="array" ref="AS91">_xlfn.IFS(OR(AS$6="",AND(A91&gt;=DA$6,B91&gt;=DB$6),AND(A91&lt;DA$4,B91&lt;DB$4)),0,AND(A91=DA$4,DA$4&lt;=DB$4),AS$6,AND(B91=DB$4,DA$4&gt;=DB$4),AS$6,OR(A91&gt;DA$4,B91&gt;DB$4),AS90*(1+Setup!C$103))</f>
        <v>0</v>
      </c>
      <c r="AT91" s="1" cm="1">
        <f t="array" ref="AT91">_xlfn.IFS(OR(AT$6="",AND(A91&gt;=DA$6,B91&gt;=DB$6),AND(A91&lt;DA$4,B91&lt;DB$4)),0,AND(A91=DA$4,DA$4&lt;=DB$4),AT$6,AND(B91=DB$4,DA$4&gt;=DB$4),AT$6,OR(A91&gt;DA$4,B91&gt;DB$4),AT90*(1+Setup!C$103))</f>
        <v>0</v>
      </c>
      <c r="AU91" s="1" cm="1">
        <f t="array" ref="AU91">_xlfn.IFS(OR(AU$6="",AND(A91&gt;=DA$6,B91&gt;=DB$6),AND(A91&lt;DA$4,B91&lt;DB$4)),0,AND(A91=DA$4,DA$4&lt;=DB$4),AU$6,AND(B91=DB$4,DA$4&gt;=DB$4),AU$6,OR(A91&gt;DA$4,B91&gt;DB$4),AU90*(1+Setup!C$103))</f>
        <v>0</v>
      </c>
      <c r="AV91" s="1" cm="1">
        <f t="array" ref="AV91">_xlfn.IFS(OR(AV$6="",AND(A91&gt;=DA$6,B91&gt;=DB$6),AND(A91&lt;DA$4,B91&lt;DB$4)),0,AND(A91=DA$4,DA$4&lt;=DB$4),AV$6,AND(B91=DB$4,DA$4&gt;=DB$4),AV$6,OR(A91&gt;DA$4,B91&gt;DB$4),AV90*(1+Setup!C$103))</f>
        <v>0</v>
      </c>
      <c r="AW91" s="1">
        <f t="shared" si="75"/>
        <v>0</v>
      </c>
      <c r="AY91" s="1" cm="1">
        <f t="array" ref="AY91">_xlfn.IFS(OR(AND(A91&gt;=DA$6,B91&gt;=DB$6),A91&lt;DA$5),0,AND(A91=DA$5,YEAR(C91)&gt;=Lookups!D$89),VLOOKUP(A91,Lookups!B$94:F$102,3),AND(A91=DA$5,YEAR(C91)&lt;Lookups!D$89),VLOOKUP(A91,Lookups!B$94:F$102,2),AND(A91&gt;DA$5,YEAR(C91)=Lookups!D$89),(AY90*Lookups!D$90)*(1+Lookups!C$20),AND(A91&gt;DA$5,YEAR(C91)&lt;&gt;Lookups!D$89),AY90*(1+Lookups!C$20))</f>
        <v>0</v>
      </c>
      <c r="AZ91" s="1" cm="1">
        <f t="array" ref="AZ91">_xlfn.IFS(OR(ISBLANK(Setup!K$91),Setup!K$91=0,AND(A91&gt;=DA$6,B91&gt;=DB$6),B91&lt;DB$5),0,AND(B91=DB$5,YEAR(C91)&gt;=Lookups!D$89),VLOOKUP(B91,Lookups!B$94:F$102,5),AND(B91=DB$5,YEAR(C91)&lt;Lookups!D$89),VLOOKUP(B91,Lookups!B$94:F$102,4),AND(B91&gt;DB$5,YEAR(C91)=Lookups!D$89),(AZ90*Lookups!D$90)*(1+Lookups!C$20),AND(B91&gt;DB$5,YEAR(C91)&lt;&gt;Lookups!D$89),AZ90*(1+Lookups!C$20))</f>
        <v>0</v>
      </c>
      <c r="BA91" s="65">
        <f>IF(OR(AY91&gt;0,AZ91&gt;0),(AY91+AZ91)*Lookups!D$120,0)</f>
        <v>0</v>
      </c>
      <c r="BB91" s="1" cm="1">
        <f t="array" ref="BB91">_xlfn.IFS(AND(A91&lt;DA$4,B91&lt;DB$4),0,OR(_xlfn.XOR(A91&gt;DA$6,B91&gt;DB$6),_xlfn.XOR(A91&gt;=DA$4,B91&gt;=DB$4)),IF(AP91-SUM(AW91,AY91:AZ91)&gt;0,AP91-SUM(AW91,AY91:AZ91),0),AQ91-SUM(AW91,AY91:AZ91)&gt;0, AQ91-SUM(AW91,AY91:AZ91),AQ91-SUM(AW91,AY91:AZ91)&lt;=0,0)</f>
        <v>0</v>
      </c>
      <c r="BD91" s="1" cm="1">
        <f t="array" ref="BD91">_xlfn.IFS(AND(A91&gt;=DA$6,B91&gt;=DB$6),0,AND(A91&gt;=DA$6,B91&gt;=Lookups!C$35),D91/VLOOKUP(B91,Lookups!C$37:D$67,2),A91&lt;Lookups!$C$35,0,A91&gt;=Lookups!C$35,D91/VLOOKUP(A91,Lookups!C$37:D$67,2))</f>
        <v>0</v>
      </c>
      <c r="BE91" s="1" cm="1">
        <f t="array" ref="BE91">_xlfn.IFS(AND(A91&gt;=DA$6,B91&gt;=DB$6),0,AND(B91&gt;=DB$6,A91&gt;=Lookups!C$35),F91/VLOOKUP(A91,Lookups!C$37:D$67,2),B91&lt;Lookups!$C$35,0,B91&gt;=Lookups!C$35,F91/VLOOKUP(B91,Lookups!C$37:D$67,2))</f>
        <v>0</v>
      </c>
      <c r="BF91" s="1" cm="1">
        <f t="array" ref="BF91">_xlfn.IFS($BB91&lt;=0,0,AND(A91&gt;=DA$4,B91&gt;=DB$4,$BB91*I91&lt;(BD91+BE91)),0,AND(A91&gt;=DA$4,B91&gt;=DB$4,H91&gt;=(BB91*I91)-BD91-BE91),(BB91*I91)-BD91-BE91,AND(A91&gt;=DA$4,B91&gt;=DB$4,H91&lt;(BB91*I91)-BD91-BE91),H91,AND(A91&gt;=DA$4,$BB91*I91&lt;(BD91)),0,AND(A91&gt;=DA$4,H91&gt;=(BB91*I91)-BD91),(BB91*I91)-BD91,AND(A91&gt;=DA$4,H91&lt;(BB91*I91)-BD91),H91,AND(B91&gt;=DB$4,$BB91*I91&lt;(BE91)),0,AND(B91&gt;=DB$4,H91&gt;=(BB91*I91)-BE91),(BB91*I91)-BE91,AND(B91&gt;=DB$4,H91&lt;(BB91*I91)-BE91),H91)</f>
        <v>0</v>
      </c>
      <c r="BG91" s="1">
        <f t="shared" si="66"/>
        <v>0</v>
      </c>
      <c r="BH91" s="1" cm="1">
        <f t="array" ref="BH91">_xlfn.IFS(OR(D91=0,A91&lt;DA$4),0,AND(A91&gt;=DA$4,B91&gt;=DB$4,D91&lt;BD91+($BF91*(D91/$H91))+(-$BP91*(D91/$H91))),D91,AND(A91&gt;=DA$4,B91&gt;=DB$4,$BB91&gt;$BG91),BD91+($BF91*(D91/$H91))+(-$BP91*(D91/$H91)),AND(A91&gt;=DA$4,B91&gt;=DB$4,OR(A91&gt;DA$6, B91&gt;DB$6),$AP91-SUM($AW91,$AY91:$AZ91)&lt;0),BD91+($BF91*(D91/$H91))+(-$BP91*(D91/$H91))+(BP91*(D91/$H91)),AND(A91&gt;=DA$4,B91&gt;=DB$4,$AQ91-SUM($AW91,$AY91:$AZ91)&lt;0),BD91+($BF91*(D91/$H91))+(-$BP91*(D91/$H91))+(BP91*(D91/$H91)),AND(A91&gt;=DA$4,D91&lt;BD91+$BF91-$BP91),D91,AND(A91&gt;=DA$4,$AP91-SUM($AW91,$AY91:$AZ91)&lt;0),BD91+($BF91*(D91/$H91))+(-$BP91*(D91/$H91))+(BP91*(D91/$H91)),A91&gt;=DA$4,BD91+$BF91-$BP91)</f>
        <v>0</v>
      </c>
      <c r="BI91" s="1" cm="1">
        <f t="array" ref="BI91">_xlfn.IFS(OR(F91=0,B91&lt;DB$4),0,AND(A91&gt;=DA$4,B91&gt;=DB$4,F91&lt;BE91+($BF91*(F91/$H91))+(-$BP91*(F91/$H91))),F91,AND(A91&gt;=DA$4,B91&gt;=DB$4,$BB91&gt;$BG91),BE91+($BF91*(F91/$H91))+(-$BP91*(F91/$H91)),AND(A91&gt;=DA$4,B91&gt;=DB$4,OR(A91&gt;DA$6, B91&gt;DB$6),$AP91-SUM($AW91,$AY91:$AZ91)&lt;0),BE91+($BF91*(F91/$H91))+(-$BP91*(F91/$H91))+(BP91*(F91/$H91)),AND(A91&gt;=DA$4,B91&gt;=DB$4,$AQ91-SUM($AW91,$AY91:$AZ91)&lt;0),BE91+($BF91*(F91/$H91))+(-$BP91*(F91/$H91))+(BP91*(F91/$H91)),AND(B91&gt;=DB$4,F91&lt;BE91+$BF91-$BP91),F91,AND(B91&gt;=DB$4,$AP91-SUM($AW91,$AY91:$AZ91)&lt;0),BE91+($BF91*(F91/$H91))+(-$BP91*(F91/$H91))+(BP91*(F91/$H91)),B91&gt;=DB$4,BE91+$BF91-$BP91)</f>
        <v>0</v>
      </c>
      <c r="BJ91" s="64" cm="1">
        <f t="array" ref="BJ91">IF(AW91+BA91+BG91&gt;0, AW91+BA91+BG91-_xlfn.IFS(AND(A91&gt;=65,B91&gt;=65),VLOOKUP(Setup!I$4,Lookups!C$133:F$136,4),OR(A91&gt;=65,B91&gt;=65),VLOOKUP(Setup!I$4,Lookups!C$133:E$136,3),AND(A91&lt;65,B91&lt;65),VLOOKUP(Setup!I$4,Lookups!C$133:D$136,2)),0)</f>
        <v>0</v>
      </c>
      <c r="BK91" s="1" cm="1">
        <f t="array" ref="BK91">IF(BJ91&gt;0,_xlfn.IFS(Setup!I$4=Lookups!D$109,-_xlfn.IFS($BJ91&gt;=Lookups!D$157, Lookups!F$157+($BJ91-Lookups!D$157)*Lookups!G$157,$BJ91&gt;=Lookups!D$156, Lookups!F$156+($BJ91-Lookups!D$156)*Lookups!G$156,$BJ91&gt;=Lookups!D$155, Lookups!F$155+($BJ91-Lookups!D$155)*Lookups!G$155,$BJ91&gt;=Lookups!D$154, Lookups!F$154+($BJ91-Lookups!D$154)*Lookups!G$154,$BJ91&gt;=Lookups!D$153, Lookups!F$153+($BJ91-Lookups!D$153)*Lookups!G$153,$BJ91&gt;=Lookups!D$152, Lookups!F$152+($BJ91-Lookups!D$152)*Lookups!G$152,$BJ91&lt;Lookups!D$152,$BJ91*Lookups!G$151),Setup!I$4=Lookups!D$110,-_xlfn.IFS($BJ91&gt;=Lookups!D$167, Lookups!F$167+($BJ91-Lookups!D$167)*Lookups!G$167,$BJ91&gt;=Lookups!D$166, Lookups!F$166+($BJ91-Lookups!D$166)*Lookups!G$166,$BJ91&gt;=Lookups!D$165, Lookups!F$165+($BJ91-Lookups!D$165)*Lookups!G$165,$BJ91&gt;=Lookups!D$164, Lookups!F$164+($BJ91-Lookups!D$164)*Lookups!G$164,$BJ91&gt;=Lookups!D$163, Lookups!F$163+($BJ91-Lookups!D$163)*Lookups!G$163,$BJ91&gt;=Lookups!D$162, Lookups!F$162+($BJ91-Lookups!D$162)*Lookups!G$162,$BJ91&lt;Lookups!D$162,$BJ91*Lookups!G$161),Setup!I$4=Lookups!D$111,-_xlfn.IFS($BJ91&gt;=Lookups!D$177, Lookups!F$177+($BJ91-Lookups!D$177)*Lookups!G$177,$BJ91&gt;=Lookups!D$176, Lookups!F$176+($BJ91-Lookups!D$176)*Lookups!G$176,$BJ91&gt;=Lookups!D$175, Lookups!F$175+($BJ91-Lookups!D$175)*Lookups!G$175,$BJ91&gt;=Lookups!D$174, Lookups!F$174+($BJ91-Lookups!D$174)*Lookups!G$174,$BJ91&gt;=Lookups!D$173, Lookups!F$173+($BJ91-Lookups!D$173)*Lookups!G$173,$BJ91&gt;=Lookups!D$172, Lookups!F$172+($BJ91-Lookups!D$172)*Lookups!G$172,$BJ91&lt;Lookups!D$172,$BJ91*Lookups!G$171), Setup!I$4=Lookups!D$112,-_xlfn.IFS($BJ91&gt;=Lookups!D$187, Lookups!F$187+($BJ91-Lookups!D$187)*Lookups!G$187,$BJ91&gt;=Lookups!D$186, Lookups!F$186+($BJ91-Lookups!D$186)*Lookups!G$186,$BJ91&gt;=Lookups!D$185, Lookups!F$185+($BJ91-Lookups!D$185)*Lookups!G$185,$BJ91&gt;=Lookups!D$184, Lookups!F$184+($BJ91-Lookups!D$184)*Lookups!G$184,$BJ91&gt;=Lookups!D$183, Lookups!F$183+($BJ91-Lookups!D$183)*Lookups!G$183,$BJ91&gt;=Lookups!D$182, Lookups!F$182+($BJ91-Lookups!D$182)*Lookups!G$182,$BJ91&lt;Lookups!D$182,$BJ91*Lookups!G$181)),0)</f>
        <v>0</v>
      </c>
      <c r="BL91" s="18">
        <f t="shared" si="76"/>
        <v>0</v>
      </c>
      <c r="BM91" s="134">
        <f t="shared" si="98"/>
        <v>0</v>
      </c>
      <c r="BN91" s="134" cm="1">
        <f t="array" aca="1" ref="BN91" ca="1">INDIRECT(Setup!I$6&amp;"!"&amp;"A"&amp;ROW())</f>
        <v>0</v>
      </c>
      <c r="BO91" s="134">
        <f t="shared" si="84"/>
        <v>0</v>
      </c>
      <c r="BP91" s="1">
        <f t="shared" si="77"/>
        <v>0</v>
      </c>
      <c r="BQ91" s="1">
        <f t="shared" si="85"/>
        <v>0</v>
      </c>
      <c r="BS91" s="1">
        <f t="shared" si="86"/>
        <v>0</v>
      </c>
      <c r="BT91" s="1" cm="1">
        <f t="array" ref="BT91">-IF(BS91&gt;0,_xlfn.IFS((AW91+BA91+BG91+BS91)&gt;=VLOOKUP(Setup!I$4,Lookups!C$210:E$213,3),BS91*Lookups!D$203,(AW91+BA91+BG91+BS91)&gt;=VLOOKUP(Setup!I$4,Lookups!C$210:E$213,2),BS91*Lookups!D$197,(AW91+BA91+BG91+BS91)&lt;VLOOKUP(Setup!I$4,Lookups!C$210:E$213,2),0),0)</f>
        <v>0</v>
      </c>
      <c r="BU91" s="18">
        <f t="shared" si="87"/>
        <v>0</v>
      </c>
      <c r="BV91" s="1">
        <f t="shared" si="88"/>
        <v>0</v>
      </c>
      <c r="BW91" s="1" cm="1">
        <f t="array" aca="1" ref="BW91" ca="1">INDIRECT(Setup!I$6&amp;"!"&amp;"A"&amp;ROW()+100)</f>
        <v>0</v>
      </c>
      <c r="BX91" s="1">
        <f t="shared" ca="1" si="78"/>
        <v>0</v>
      </c>
      <c r="BY91" s="1">
        <f t="shared" ca="1" si="79"/>
        <v>0</v>
      </c>
      <c r="CA91" s="1">
        <f t="shared" si="91"/>
        <v>0</v>
      </c>
      <c r="CC91" s="1" cm="1">
        <f t="array" ref="CC91">_xlfn.IFS(AND(A91&lt;$DA$4,B91&lt;$DB$4),0,AND(AND(A91&gt;=$DA$4,B91&gt;=$DB$4),AND(A91&lt;=$DA$6,B91&lt;=$DB$6),AND(BH91=0,BI91=0)),SUM(AW91,AY91:AZ91,BD91:BF91,BP91,BS91,CA91)-AQ91,AND(AND(A91&gt;=$DA$4,B91&gt;=$DB$4),AND(A91&lt;=$DA$6,B91&lt;=$DB$6)),SUM(AW91,AY91:AZ91,BD91:BF91,BS91,CA91)-AQ91,AND(OR(A91&gt;=$DA$4,B91&gt;=$DB$4),AND(BH91=0,BI91=0)),SUM(AW91,AY91:AZ91,BD91:BF91,BP91,BS91,CA91)-AP91,OR(A91&gt;=$DA$4,B91&gt;=$DB$4),SUM(AW91,AY91:AZ91,BD91:BF91,BS91,CA91)-AP91)</f>
        <v>0</v>
      </c>
      <c r="CD91" s="142" t="str">
        <f t="shared" si="89"/>
        <v/>
      </c>
    </row>
    <row r="92" spans="1:82" x14ac:dyDescent="0.3">
      <c r="A92" s="354">
        <f t="shared" si="68"/>
        <v>85</v>
      </c>
      <c r="B92" s="354">
        <f t="shared" si="69"/>
        <v>85</v>
      </c>
      <c r="C92" s="359">
        <f t="shared" si="90"/>
        <v>31048</v>
      </c>
      <c r="D92" s="326" cm="1">
        <f t="array" ref="D92">_xlfn.IFS(AND(A92&gt;DA$6,B92&gt;DB$6),0,AND(A92&gt;DA$3,A92&lt;=DA$4),D91*(1+DH$1),OR(A92&gt;DA$6,A92&gt;DA$4),(D91-BH91)*(1+DH$2),A92&lt;=DA$4,(D91*(1+DH$1))+(D$4))</f>
        <v>0</v>
      </c>
      <c r="E92" s="375"/>
      <c r="F92" s="326" cm="1">
        <f t="array" ref="F92">_xlfn.IFS(AND(A92&gt;DA$6,B92&gt;DB$6),0,AND(B92&gt;DB$3,B92&lt;=DB$4),F91*(1+DH$1),OR(B92&gt;DB$6,B92&gt;DB$4),(F91-BI91)*(1+DH$2),B92&lt;=DB$4,(F91*(1+DH$1))+(F$4))</f>
        <v>0</v>
      </c>
      <c r="G92" s="375"/>
      <c r="H92" s="1">
        <f t="shared" si="95"/>
        <v>0</v>
      </c>
      <c r="I92" s="2">
        <f t="shared" si="70"/>
        <v>0</v>
      </c>
      <c r="J92" s="14">
        <f t="shared" si="96"/>
        <v>0</v>
      </c>
      <c r="L92" s="402" cm="1">
        <f t="array" ref="L92">_xlfn.IFS(AND(A92&gt;DA$6,B92&gt;DB$6),0,A92&lt;DA$6,0,A92=DA$6,L$4,AND(A92&gt;DA$6,B92&lt;=DB$4),L91*(1+DH$1),AND(A92&gt;DA$6,B92&gt;DB$4),IF(Y91=0,0,(L91-((L91/Y91)*BY91))*(1+DH$2)))</f>
        <v>0</v>
      </c>
      <c r="M92" s="402" cm="1">
        <f t="array" ref="M92">_xlfn.IFS(AND(A92&gt;DA$6,B92&gt;DB$6),0,B92&lt;DB$6,0,B92=DB$6,M$4,AND(B92&gt;DB$6,A92&lt;=DA$4),M91*(1+DH$1),AND(A92&gt;DA$4,B92&gt;DB$6),IF(Y91=0,0,(M91-((M91/Y91)*BY91))*(1+DH$2)))</f>
        <v>0</v>
      </c>
      <c r="N92" s="327"/>
      <c r="O92" s="327" cm="1">
        <f t="array" ref="O92">_xlfn.IFS(OR(ISBLANK(Setup!C$63),Setup!C$63&gt;YEAR(C92),AND(A92&gt;DA$6,B92&gt;DB$6),ISBLANK(Y91)),0,Setup!C$63=YEAR(C92),Setup!C$62,AND(OR(A92&lt;=DA$4,B92&lt;=DB$4),Setup!C$63&lt;YEAR(C92)),O91*(1+DH$1),AND(A92&gt;DA$4,B92&gt;DB$4,Setup!C$63&lt;YEAR(C92)),IF(Y91=0,0,(O91-((O91/Y91)*BY91))*(1+DH$2)))</f>
        <v>0</v>
      </c>
      <c r="P92" s="327" cm="1">
        <f t="array" ref="P92">_xlfn.IFS(OR(ISBLANK(Setup!C$67),Setup!C$67&gt;YEAR(C92),AND(A92&gt;DA$6,B92&gt;DB$6)),0,Setup!C$67=YEAR(C92),Setup!C$66,AND(OR(A92&lt;=DA$4,B92&lt;=DB$4),Setup!C$67&lt;YEAR(C92)),P91*(1+DH$1),AND(A92&gt;DA$4,B92&gt;DB$4,Setup!C$67&lt;YEAR(C92)),IF(Y91=0,0,(P91-((P91/Y91)*BY91))*(1+DH$2)))</f>
        <v>0</v>
      </c>
      <c r="Q92" s="327" cm="1">
        <f t="array" ref="Q92">_xlfn.IFS(OR(ISBLANK(Setup!C$71),Setup!C$71&gt;YEAR(C92),AND(A92&gt;DA$6,B92&gt;DB$6)),0,Setup!C$71=YEAR(C92),Setup!C$70,AND(OR(A92&lt;=DA$4,B92&lt;=DB$4),Setup!C$71&lt;YEAR(C92)),Q91*(1+DH$1),AND(A92&gt;DA$4,B92&gt;DB$4,Setup!C$71&lt;YEAR(C92)),IF(Y91=0,0,(Q91-((Q91/Y91)*BY91))*(1+DH$2)))</f>
        <v>0</v>
      </c>
      <c r="R92" s="327" cm="1">
        <f t="array" ref="R92">_xlfn.IFS(OR(ISBLANK(Setup!C$75),Setup!C$75&gt;YEAR(C92),AND(A92&gt;DA$6,B92&gt;DB$6)),0,Setup!C$75=YEAR(C92),Setup!C$74,AND(OR(A92&lt;=DA$4,B92&lt;=DB$4),Setup!C$75&lt;YEAR(C92)),R91*(1+DH$1),AND(A92&gt;DA$4,B92&gt;DB$4,Setup!C$75&lt;YEAR(C92)),IF(Y91=0,0,(R91-((R91/Y91)*BY91))*(1+DH$2)))</f>
        <v>0</v>
      </c>
      <c r="S92" s="327"/>
      <c r="T92" s="326" cm="1">
        <f t="array" ref="T92">_xlfn.IFS(AND($A92&gt;$DA$6,$B92&gt;$DB$6),0,AND($W$2=$DA$2,$A92&gt;$DA$4),IF($Y91=0,0,(T91-((T91/$Y91)*$BY91))*(1+$DH$2)),AND($W$2=$DB$2,$B92&gt;$DB$4),IF($Y91=0,0,(T91-((T91/$Y91)*$BY91))*(1+$DH$2)),AND($W$2=$DA$2,OR($A92&gt;$DA$3,$A92&gt;$DA$6)),(T91*(1+$DH$1)),AND($W$2=$DB$2,OR($B92&gt;$DB$3,$B92&gt;$DB$6)),(T91*(1+$DH$1)),AND($W$2=$DA$2,$A92&lt;=$DA$3,$A92&lt;=$DA$4,$A92&lt;=$DA$5),(T91*(1+$DH$1))+(T$4),AND($W$2=$DB$2,$B92&lt;=$DB$3,$B92&lt;=$DB$4,$B92&lt;=$DB$5),(T91*(1+$DH$1))+(T$4))</f>
        <v>0</v>
      </c>
      <c r="U92" s="326" cm="1">
        <f t="array" ref="U92">_xlfn.IFS(AND($A92&gt;$DA$6,$B92&gt;$DB$6),0,AND($W$2=$DA$2,$A92&gt;$DA$4),IF($Y91=0,0,(U91-((U91/$Y91)*$BY91))*(1+$DH$2)),AND($W$2=$DB$2,$B92&gt;$DB$4),IF($Y91=0,0,(U91-((U91/$Y91)*$BY91))*(1+$DH$2)),AND($W$2=$DA$2,OR($A92&gt;$DA$3,$A92&gt;$DA$6)),(U91*(1+$DH$1)),AND($W$2=$DB$2,OR($B92&gt;$DB$3,$B92&gt;$DB$6)),(U91*(1+$DH$1)),AND($W$2=$DA$2,$A92&lt;=$DA$3,$A92&lt;=$DA$4,$A92&lt;=$DA$5),(U91*(1+$DH$1))+(U$4),AND($W$2=$DB$2,$B92&lt;=$DB$3,$B92&lt;=$DB$4,$B92&lt;=$DB$5),(U91*(1+$DH$1))+(U$4))</f>
        <v>0</v>
      </c>
      <c r="V92" s="326" cm="1">
        <f t="array" ref="V92">_xlfn.IFS(AND($A92&gt;$DA$6,$B92&gt;$DB$6),0,AND($W$2=$DA$2,$A92&gt;$DA$4),IF($Y91=0,0,(V91-((V91/$Y91)*$BY91))*(1+$DH$2)),AND($W$2=$DB$2,$B92&gt;$DB$4),IF($Y91=0,0,(V91-((V91/$Y91)*$BY91))*(1+$DH$2)),AND($W$2=$DA$2,OR($A92&gt;$DA$3,$A92&gt;$DA$6)),(V91*(1+$DH$1)),AND($W$2=$DB$2,OR($B92&gt;$DB$3,$B92&gt;$DB$6)),(V91*(1+$DH$1)),AND($W$2=$DA$2,$A92&lt;=$DA$3,$A92&lt;=$DA$4,$A92&lt;=$DA$5),(V91*(1+$DH$1))+(V$4),AND($W$2=$DB$2,$B92&lt;=$DB$3,$B92&lt;=$DB$4,$B92&lt;=$DB$5),(V91*(1+$DH$1))+(V$4))</f>
        <v>0</v>
      </c>
      <c r="W92" s="326" cm="1">
        <f t="array" ref="W92">_xlfn.IFS(AND($A92&gt;$DA$6,$B92&gt;$DB$6),0,AND($W$2=$DA$2,$A92&gt;$DA$4),IF($Y91=0,0,(W91-((W91/$Y91)*$BY91))*(1+$DH$2)),AND($W$2=$DB$2,$B92&gt;$DB$4),IF($Y91=0,0,(W91-((W91/$Y91)*$BY91))*(1+$DH$2)),AND($W$2=$DA$2,OR($A92&gt;$DA$3,$A92&gt;$DA$6)),(W91*(1+$DH$1)),AND($W$2=$DB$2,OR($B92&gt;$DB$3,$B92&gt;$DB$6)),(W91*(1+$DH$1)),AND($W$2=$DA$2,$A92&lt;=$DA$3,$A92&lt;=$DA$4,$A92&lt;=$DA$5),(W91*(1+$DH$1))+(W$4),AND($W$2=$DB$2,$B92&lt;=$DB$3,$B92&lt;=$DB$4,$B92&lt;=$DB$5),(W91*(1+$DH$1))+(W$4))</f>
        <v>0</v>
      </c>
      <c r="Y92" s="1">
        <f t="shared" si="80"/>
        <v>0</v>
      </c>
      <c r="Z92" s="2">
        <f t="shared" si="71"/>
        <v>0</v>
      </c>
      <c r="AA92" s="375"/>
      <c r="AC92" s="326" cm="1">
        <f t="array" ref="AC92">_xlfn.IFS(AND(A92&gt;DA$6,B92&gt;DB$6),0,AND(A92&gt;DA$4,B92&gt;DB$4),IF(AG91=0,0,(AC91-((AC91/AG91)*CA91))*(1+DH$2)),OR(A92&gt;DA$3,A92&gt;DA$6),AC91*(1+DH$1),A92&gt;DA$4,(AC91-CA91)*(1+DH$2),AND(A92&lt;=DA$3,A92&lt;=DA$4,A92&lt;=DA$6),(AC91*(1+DH$1))+(AC$4))</f>
        <v>0</v>
      </c>
      <c r="AD92" s="375"/>
      <c r="AE92" s="326" cm="1">
        <f t="array" ref="AE92">_xlfn.IFS(AND(A92&gt;DA$6,B92&gt;DB$6),0,AND(A92&gt;DA$4,B92&gt;DB$4),IF(AG91=0,0,(AE91-((AE91/AG91)*CA91))*(1+DH$2)),OR(B92&gt;DB$3,B92&gt;DB$6),AE91*(1+DH$1),B92&gt;DB$4,(AE91-CA91)*(1+DH$2),AND(B92&lt;=DB$3,B92&lt;=DB$4,B92&lt;=DB$6),(AE91*(1+DH$1))+(AE$4))</f>
        <v>0</v>
      </c>
      <c r="AF92" s="375"/>
      <c r="AG92" s="1">
        <f t="shared" si="92"/>
        <v>0</v>
      </c>
      <c r="AH92" s="2">
        <f t="shared" si="81"/>
        <v>0</v>
      </c>
      <c r="AI92" s="14">
        <f t="shared" si="72"/>
        <v>0</v>
      </c>
      <c r="AK92" s="1">
        <f t="shared" si="82"/>
        <v>0</v>
      </c>
      <c r="AL92" s="14">
        <f t="shared" si="73"/>
        <v>0</v>
      </c>
      <c r="AM92" s="14" t="str">
        <f t="shared" si="97"/>
        <v/>
      </c>
      <c r="AO92" s="15">
        <f t="shared" si="74"/>
        <v>0</v>
      </c>
      <c r="AP92" s="1">
        <f>IF(AND(B92&gt;=$DB$6,A92&gt;=$DA$6),0,AP91*(1+Lookups!C$12))</f>
        <v>0</v>
      </c>
      <c r="AQ92" s="1">
        <f>IF(AND(B92&gt;=$DB$6,A92&gt;=$DA$6),0,AQ91*(1+Lookups!C$12))</f>
        <v>0</v>
      </c>
      <c r="AS92" s="1" cm="1">
        <f t="array" ref="AS92">_xlfn.IFS(OR(AS$6="",AND(A92&gt;=DA$6,B92&gt;=DB$6),AND(A92&lt;DA$4,B92&lt;DB$4)),0,AND(A92=DA$4,DA$4&lt;=DB$4),AS$6,AND(B92=DB$4,DA$4&gt;=DB$4),AS$6,OR(A92&gt;DA$4,B92&gt;DB$4),AS91*(1+Setup!C$103))</f>
        <v>0</v>
      </c>
      <c r="AT92" s="1" cm="1">
        <f t="array" ref="AT92">_xlfn.IFS(OR(AT$6="",AND(A92&gt;=DA$6,B92&gt;=DB$6),AND(A92&lt;DA$4,B92&lt;DB$4)),0,AND(A92=DA$4,DA$4&lt;=DB$4),AT$6,AND(B92=DB$4,DA$4&gt;=DB$4),AT$6,OR(A92&gt;DA$4,B92&gt;DB$4),AT91*(1+Setup!C$103))</f>
        <v>0</v>
      </c>
      <c r="AU92" s="1" cm="1">
        <f t="array" ref="AU92">_xlfn.IFS(OR(AU$6="",AND(A92&gt;=DA$6,B92&gt;=DB$6),AND(A92&lt;DA$4,B92&lt;DB$4)),0,AND(A92=DA$4,DA$4&lt;=DB$4),AU$6,AND(B92=DB$4,DA$4&gt;=DB$4),AU$6,OR(A92&gt;DA$4,B92&gt;DB$4),AU91*(1+Setup!C$103))</f>
        <v>0</v>
      </c>
      <c r="AV92" s="1" cm="1">
        <f t="array" ref="AV92">_xlfn.IFS(OR(AV$6="",AND(A92&gt;=DA$6,B92&gt;=DB$6),AND(A92&lt;DA$4,B92&lt;DB$4)),0,AND(A92=DA$4,DA$4&lt;=DB$4),AV$6,AND(B92=DB$4,DA$4&gt;=DB$4),AV$6,OR(A92&gt;DA$4,B92&gt;DB$4),AV91*(1+Setup!C$103))</f>
        <v>0</v>
      </c>
      <c r="AW92" s="1">
        <f t="shared" si="75"/>
        <v>0</v>
      </c>
      <c r="AY92" s="1" cm="1">
        <f t="array" ref="AY92">_xlfn.IFS(OR(AND(A92&gt;=DA$6,B92&gt;=DB$6),A92&lt;DA$5),0,AND(A92=DA$5,YEAR(C92)&gt;=Lookups!D$89),VLOOKUP(A92,Lookups!B$94:F$102,3),AND(A92=DA$5,YEAR(C92)&lt;Lookups!D$89),VLOOKUP(A92,Lookups!B$94:F$102,2),AND(A92&gt;DA$5,YEAR(C92)=Lookups!D$89),(AY91*Lookups!D$90)*(1+Lookups!C$20),AND(A92&gt;DA$5,YEAR(C92)&lt;&gt;Lookups!D$89),AY91*(1+Lookups!C$20))</f>
        <v>0</v>
      </c>
      <c r="AZ92" s="1" cm="1">
        <f t="array" ref="AZ92">_xlfn.IFS(OR(ISBLANK(Setup!K$91),Setup!K$91=0,AND(A92&gt;=DA$6,B92&gt;=DB$6),B92&lt;DB$5),0,AND(B92=DB$5,YEAR(C92)&gt;=Lookups!D$89),VLOOKUP(B92,Lookups!B$94:F$102,5),AND(B92=DB$5,YEAR(C92)&lt;Lookups!D$89),VLOOKUP(B92,Lookups!B$94:F$102,4),AND(B92&gt;DB$5,YEAR(C92)=Lookups!D$89),(AZ91*Lookups!D$90)*(1+Lookups!C$20),AND(B92&gt;DB$5,YEAR(C92)&lt;&gt;Lookups!D$89),AZ91*(1+Lookups!C$20))</f>
        <v>0</v>
      </c>
      <c r="BA92" s="65">
        <f>IF(OR(AY92&gt;0,AZ92&gt;0),(AY92+AZ92)*Lookups!D$120,0)</f>
        <v>0</v>
      </c>
      <c r="BB92" s="1" cm="1">
        <f t="array" ref="BB92">_xlfn.IFS(AND(A92&lt;DA$4,B92&lt;DB$4),0,OR(_xlfn.XOR(A92&gt;DA$6,B92&gt;DB$6),_xlfn.XOR(A92&gt;=DA$4,B92&gt;=DB$4)),IF(AP92-SUM(AW92,AY92:AZ92)&gt;0,AP92-SUM(AW92,AY92:AZ92),0),AQ92-SUM(AW92,AY92:AZ92)&gt;0, AQ92-SUM(AW92,AY92:AZ92),AQ92-SUM(AW92,AY92:AZ92)&lt;=0,0)</f>
        <v>0</v>
      </c>
      <c r="BD92" s="1" cm="1">
        <f t="array" ref="BD92">_xlfn.IFS(AND(A92&gt;=DA$6,B92&gt;=DB$6),0,AND(A92&gt;=DA$6,B92&gt;=Lookups!C$35),D92/VLOOKUP(B92,Lookups!C$37:D$67,2),A92&lt;Lookups!$C$35,0,A92&gt;=Lookups!C$35,D92/VLOOKUP(A92,Lookups!C$37:D$67,2))</f>
        <v>0</v>
      </c>
      <c r="BE92" s="1" cm="1">
        <f t="array" ref="BE92">_xlfn.IFS(AND(A92&gt;=DA$6,B92&gt;=DB$6),0,AND(B92&gt;=DB$6,A92&gt;=Lookups!C$35),F92/VLOOKUP(A92,Lookups!C$37:D$67,2),B92&lt;Lookups!$C$35,0,B92&gt;=Lookups!C$35,F92/VLOOKUP(B92,Lookups!C$37:D$67,2))</f>
        <v>0</v>
      </c>
      <c r="BF92" s="1" cm="1">
        <f t="array" ref="BF92">_xlfn.IFS($BB92&lt;=0,0,AND(A92&gt;=DA$4,B92&gt;=DB$4,$BB92*I92&lt;(BD92+BE92)),0,AND(A92&gt;=DA$4,B92&gt;=DB$4,H92&gt;=(BB92*I92)-BD92-BE92),(BB92*I92)-BD92-BE92,AND(A92&gt;=DA$4,B92&gt;=DB$4,H92&lt;(BB92*I92)-BD92-BE92),H92,AND(A92&gt;=DA$4,$BB92*I92&lt;(BD92)),0,AND(A92&gt;=DA$4,H92&gt;=(BB92*I92)-BD92),(BB92*I92)-BD92,AND(A92&gt;=DA$4,H92&lt;(BB92*I92)-BD92),H92,AND(B92&gt;=DB$4,$BB92*I92&lt;(BE92)),0,AND(B92&gt;=DB$4,H92&gt;=(BB92*I92)-BE92),(BB92*I92)-BE92,AND(B92&gt;=DB$4,H92&lt;(BB92*I92)-BE92),H92)</f>
        <v>0</v>
      </c>
      <c r="BG92" s="1">
        <f t="shared" si="66"/>
        <v>0</v>
      </c>
      <c r="BH92" s="1" cm="1">
        <f t="array" ref="BH92">_xlfn.IFS(OR(D92=0,A92&lt;DA$4),0,AND(A92&gt;=DA$4,B92&gt;=DB$4,D92&lt;BD92+($BF92*(D92/$H92))+(-$BP92*(D92/$H92))),D92,AND(A92&gt;=DA$4,B92&gt;=DB$4,$BB92&gt;$BG92),BD92+($BF92*(D92/$H92))+(-$BP92*(D92/$H92)),AND(A92&gt;=DA$4,B92&gt;=DB$4,OR(A92&gt;DA$6, B92&gt;DB$6),$AP92-SUM($AW92,$AY92:$AZ92)&lt;0),BD92+($BF92*(D92/$H92))+(-$BP92*(D92/$H92))+(BP92*(D92/$H92)),AND(A92&gt;=DA$4,B92&gt;=DB$4,$AQ92-SUM($AW92,$AY92:$AZ92)&lt;0),BD92+($BF92*(D92/$H92))+(-$BP92*(D92/$H92))+(BP92*(D92/$H92)),AND(A92&gt;=DA$4,D92&lt;BD92+$BF92-$BP92),D92,AND(A92&gt;=DA$4,$AP92-SUM($AW92,$AY92:$AZ92)&lt;0),BD92+($BF92*(D92/$H92))+(-$BP92*(D92/$H92))+(BP92*(D92/$H92)),A92&gt;=DA$4,BD92+$BF92-$BP92)</f>
        <v>0</v>
      </c>
      <c r="BI92" s="1" cm="1">
        <f t="array" ref="BI92">_xlfn.IFS(OR(F92=0,B92&lt;DB$4),0,AND(A92&gt;=DA$4,B92&gt;=DB$4,F92&lt;BE92+($BF92*(F92/$H92))+(-$BP92*(F92/$H92))),F92,AND(A92&gt;=DA$4,B92&gt;=DB$4,$BB92&gt;$BG92),BE92+($BF92*(F92/$H92))+(-$BP92*(F92/$H92)),AND(A92&gt;=DA$4,B92&gt;=DB$4,OR(A92&gt;DA$6, B92&gt;DB$6),$AP92-SUM($AW92,$AY92:$AZ92)&lt;0),BE92+($BF92*(F92/$H92))+(-$BP92*(F92/$H92))+(BP92*(F92/$H92)),AND(A92&gt;=DA$4,B92&gt;=DB$4,$AQ92-SUM($AW92,$AY92:$AZ92)&lt;0),BE92+($BF92*(F92/$H92))+(-$BP92*(F92/$H92))+(BP92*(F92/$H92)),AND(B92&gt;=DB$4,F92&lt;BE92+$BF92-$BP92),F92,AND(B92&gt;=DB$4,$AP92-SUM($AW92,$AY92:$AZ92)&lt;0),BE92+($BF92*(F92/$H92))+(-$BP92*(F92/$H92))+(BP92*(F92/$H92)),B92&gt;=DB$4,BE92+$BF92-$BP92)</f>
        <v>0</v>
      </c>
      <c r="BJ92" s="64" cm="1">
        <f t="array" ref="BJ92">IF(AW92+BA92+BG92&gt;0, AW92+BA92+BG92-_xlfn.IFS(AND(A92&gt;=65,B92&gt;=65),VLOOKUP(Setup!I$4,Lookups!C$133:F$136,4),OR(A92&gt;=65,B92&gt;=65),VLOOKUP(Setup!I$4,Lookups!C$133:E$136,3),AND(A92&lt;65,B92&lt;65),VLOOKUP(Setup!I$4,Lookups!C$133:D$136,2)),0)</f>
        <v>0</v>
      </c>
      <c r="BK92" s="1" cm="1">
        <f t="array" ref="BK92">IF(BJ92&gt;0,_xlfn.IFS(Setup!I$4=Lookups!D$109,-_xlfn.IFS($BJ92&gt;=Lookups!D$157, Lookups!F$157+($BJ92-Lookups!D$157)*Lookups!G$157,$BJ92&gt;=Lookups!D$156, Lookups!F$156+($BJ92-Lookups!D$156)*Lookups!G$156,$BJ92&gt;=Lookups!D$155, Lookups!F$155+($BJ92-Lookups!D$155)*Lookups!G$155,$BJ92&gt;=Lookups!D$154, Lookups!F$154+($BJ92-Lookups!D$154)*Lookups!G$154,$BJ92&gt;=Lookups!D$153, Lookups!F$153+($BJ92-Lookups!D$153)*Lookups!G$153,$BJ92&gt;=Lookups!D$152, Lookups!F$152+($BJ92-Lookups!D$152)*Lookups!G$152,$BJ92&lt;Lookups!D$152,$BJ92*Lookups!G$151),Setup!I$4=Lookups!D$110,-_xlfn.IFS($BJ92&gt;=Lookups!D$167, Lookups!F$167+($BJ92-Lookups!D$167)*Lookups!G$167,$BJ92&gt;=Lookups!D$166, Lookups!F$166+($BJ92-Lookups!D$166)*Lookups!G$166,$BJ92&gt;=Lookups!D$165, Lookups!F$165+($BJ92-Lookups!D$165)*Lookups!G$165,$BJ92&gt;=Lookups!D$164, Lookups!F$164+($BJ92-Lookups!D$164)*Lookups!G$164,$BJ92&gt;=Lookups!D$163, Lookups!F$163+($BJ92-Lookups!D$163)*Lookups!G$163,$BJ92&gt;=Lookups!D$162, Lookups!F$162+($BJ92-Lookups!D$162)*Lookups!G$162,$BJ92&lt;Lookups!D$162,$BJ92*Lookups!G$161),Setup!I$4=Lookups!D$111,-_xlfn.IFS($BJ92&gt;=Lookups!D$177, Lookups!F$177+($BJ92-Lookups!D$177)*Lookups!G$177,$BJ92&gt;=Lookups!D$176, Lookups!F$176+($BJ92-Lookups!D$176)*Lookups!G$176,$BJ92&gt;=Lookups!D$175, Lookups!F$175+($BJ92-Lookups!D$175)*Lookups!G$175,$BJ92&gt;=Lookups!D$174, Lookups!F$174+($BJ92-Lookups!D$174)*Lookups!G$174,$BJ92&gt;=Lookups!D$173, Lookups!F$173+($BJ92-Lookups!D$173)*Lookups!G$173,$BJ92&gt;=Lookups!D$172, Lookups!F$172+($BJ92-Lookups!D$172)*Lookups!G$172,$BJ92&lt;Lookups!D$172,$BJ92*Lookups!G$171), Setup!I$4=Lookups!D$112,-_xlfn.IFS($BJ92&gt;=Lookups!D$187, Lookups!F$187+($BJ92-Lookups!D$187)*Lookups!G$187,$BJ92&gt;=Lookups!D$186, Lookups!F$186+($BJ92-Lookups!D$186)*Lookups!G$186,$BJ92&gt;=Lookups!D$185, Lookups!F$185+($BJ92-Lookups!D$185)*Lookups!G$185,$BJ92&gt;=Lookups!D$184, Lookups!F$184+($BJ92-Lookups!D$184)*Lookups!G$184,$BJ92&gt;=Lookups!D$183, Lookups!F$183+($BJ92-Lookups!D$183)*Lookups!G$183,$BJ92&gt;=Lookups!D$182, Lookups!F$182+($BJ92-Lookups!D$182)*Lookups!G$182,$BJ92&lt;Lookups!D$182,$BJ92*Lookups!G$181)),0)</f>
        <v>0</v>
      </c>
      <c r="BL92" s="18">
        <f t="shared" si="76"/>
        <v>0</v>
      </c>
      <c r="BM92" s="134">
        <f t="shared" si="98"/>
        <v>0</v>
      </c>
      <c r="BN92" s="134" cm="1">
        <f t="array" aca="1" ref="BN92" ca="1">INDIRECT(Setup!I$6&amp;"!"&amp;"A"&amp;ROW())</f>
        <v>0</v>
      </c>
      <c r="BO92" s="134">
        <f t="shared" si="84"/>
        <v>0</v>
      </c>
      <c r="BP92" s="1">
        <f t="shared" si="77"/>
        <v>0</v>
      </c>
      <c r="BQ92" s="1">
        <f t="shared" si="85"/>
        <v>0</v>
      </c>
      <c r="BS92" s="1">
        <f t="shared" si="86"/>
        <v>0</v>
      </c>
      <c r="BT92" s="1" cm="1">
        <f t="array" ref="BT92">-IF(BS92&gt;0,_xlfn.IFS((AW92+BA92+BG92+BS92)&gt;=VLOOKUP(Setup!I$4,Lookups!C$210:E$213,3),BS92*Lookups!D$203,(AW92+BA92+BG92+BS92)&gt;=VLOOKUP(Setup!I$4,Lookups!C$210:E$213,2),BS92*Lookups!D$197,(AW92+BA92+BG92+BS92)&lt;VLOOKUP(Setup!I$4,Lookups!C$210:E$213,2),0),0)</f>
        <v>0</v>
      </c>
      <c r="BU92" s="18">
        <f t="shared" si="87"/>
        <v>0</v>
      </c>
      <c r="BV92" s="1">
        <f t="shared" si="88"/>
        <v>0</v>
      </c>
      <c r="BW92" s="1" cm="1">
        <f t="array" aca="1" ref="BW92" ca="1">INDIRECT(Setup!I$6&amp;"!"&amp;"A"&amp;ROW()+100)</f>
        <v>0</v>
      </c>
      <c r="BX92" s="1">
        <f t="shared" ca="1" si="78"/>
        <v>0</v>
      </c>
      <c r="BY92" s="1">
        <f t="shared" ca="1" si="79"/>
        <v>0</v>
      </c>
      <c r="CA92" s="1">
        <f t="shared" si="91"/>
        <v>0</v>
      </c>
      <c r="CC92" s="1" cm="1">
        <f t="array" ref="CC92">_xlfn.IFS(AND(A92&lt;$DA$4,B92&lt;$DB$4),0,AND(AND(A92&gt;=$DA$4,B92&gt;=$DB$4),AND(A92&lt;=$DA$6,B92&lt;=$DB$6),AND(BH92=0,BI92=0)),SUM(AW92,AY92:AZ92,BD92:BF92,BP92,BS92,CA92)-AQ92,AND(AND(A92&gt;=$DA$4,B92&gt;=$DB$4),AND(A92&lt;=$DA$6,B92&lt;=$DB$6)),SUM(AW92,AY92:AZ92,BD92:BF92,BS92,CA92)-AQ92,AND(OR(A92&gt;=$DA$4,B92&gt;=$DB$4),AND(BH92=0,BI92=0)),SUM(AW92,AY92:AZ92,BD92:BF92,BP92,BS92,CA92)-AP92,OR(A92&gt;=$DA$4,B92&gt;=$DB$4),SUM(AW92,AY92:AZ92,BD92:BF92,BS92,CA92)-AP92)</f>
        <v>0</v>
      </c>
      <c r="CD92" s="142" t="str">
        <f t="shared" si="89"/>
        <v/>
      </c>
    </row>
  </sheetData>
  <sheetProtection sheet="1" objects="1" scenarios="1"/>
  <mergeCells count="14">
    <mergeCell ref="A1:B1"/>
    <mergeCell ref="AY1:CA1"/>
    <mergeCell ref="O4:R4"/>
    <mergeCell ref="AC3:AI3"/>
    <mergeCell ref="D3:J3"/>
    <mergeCell ref="AK4:AM4"/>
    <mergeCell ref="L3:AA3"/>
    <mergeCell ref="AS4:AW4"/>
    <mergeCell ref="AS3:BP3"/>
    <mergeCell ref="BS3:BY3"/>
    <mergeCell ref="BS4:BY4"/>
    <mergeCell ref="AY4:BA4"/>
    <mergeCell ref="BD4:BI4"/>
    <mergeCell ref="C2:C3"/>
  </mergeCells>
  <conditionalFormatting sqref="CC7:CC92">
    <cfRule type="cellIs" dxfId="52" priority="59" operator="greaterThan">
      <formula>1</formula>
    </cfRule>
    <cfRule type="cellIs" dxfId="51" priority="69" operator="lessThan">
      <formula>-1</formula>
    </cfRule>
  </conditionalFormatting>
  <conditionalFormatting sqref="CC5:CC6">
    <cfRule type="expression" dxfId="50" priority="58">
      <formula>$CC$5="Over"</formula>
    </cfRule>
    <cfRule type="expression" dxfId="49" priority="67">
      <formula>$CC$5="Under"</formula>
    </cfRule>
  </conditionalFormatting>
  <conditionalFormatting sqref="AM7:AM92">
    <cfRule type="cellIs" dxfId="48" priority="65" operator="greaterThan">
      <formula>0</formula>
    </cfRule>
  </conditionalFormatting>
  <conditionalFormatting sqref="AM5">
    <cfRule type="cellIs" dxfId="47" priority="53" operator="greaterThan">
      <formula>0</formula>
    </cfRule>
  </conditionalFormatting>
  <conditionalFormatting sqref="E7:CC7 F10:S12 U10:Z12 E8:S9 U8:AB9 AB10:AB12 AG9:AS13 F13:Z13 AB13:AC13 A7:C92 E14:AS92 AD8 AC8:AC12 AF8:AS8 AE8:AE13 F9:F92 AT8:CC92 T8:T12">
    <cfRule type="expression" dxfId="46" priority="44">
      <formula>$A7=$A$4</formula>
    </cfRule>
    <cfRule type="expression" dxfId="45" priority="45">
      <formula>$B7=$B$4</formula>
    </cfRule>
    <cfRule type="expression" dxfId="44" priority="46">
      <formula>$A7=$A$6</formula>
    </cfRule>
    <cfRule type="expression" dxfId="43" priority="208">
      <formula>$B7=$B$6</formula>
    </cfRule>
  </conditionalFormatting>
  <conditionalFormatting sqref="AM5">
    <cfRule type="expression" dxfId="42" priority="210">
      <formula>#REF!=$B$4</formula>
    </cfRule>
    <cfRule type="expression" dxfId="41" priority="211">
      <formula>#REF!=$B$6</formula>
    </cfRule>
    <cfRule type="expression" dxfId="40" priority="212">
      <formula>#REF!=$A$6</formula>
    </cfRule>
    <cfRule type="expression" dxfId="39" priority="213">
      <formula>#REF!=$A$4</formula>
    </cfRule>
  </conditionalFormatting>
  <conditionalFormatting sqref="K1:Q2">
    <cfRule type="expression" dxfId="0" priority="92">
      <formula>$K$1="Insufficient funds to meet your targets."</formula>
    </cfRule>
    <cfRule type="expression" dxfId="38" priority="1">
      <formula>ISNUMBER(SEARCH("You will leave",$K$1))</formula>
    </cfRule>
    <cfRule type="expression" dxfId="1" priority="2">
      <formula>$K$1&lt;&gt;"Insufficient funds to meet your targets."</formula>
    </cfRule>
  </conditionalFormatting>
  <conditionalFormatting sqref="O7:R92 AC7:AC92 AE7:AE92 F7:F92 T7:W92">
    <cfRule type="expression" dxfId="37" priority="209">
      <formula>YEAR($C7)&lt;YEAR(TODAY())</formula>
    </cfRule>
  </conditionalFormatting>
  <conditionalFormatting sqref="D8:D92">
    <cfRule type="expression" dxfId="36" priority="34">
      <formula>$A8=$A$4</formula>
    </cfRule>
    <cfRule type="expression" dxfId="35" priority="35">
      <formula>$B8=$B$4</formula>
    </cfRule>
    <cfRule type="expression" dxfId="34" priority="36">
      <formula>$A8=$A$6</formula>
    </cfRule>
    <cfRule type="expression" dxfId="33" priority="37">
      <formula>$B8=$B$6</formula>
    </cfRule>
  </conditionalFormatting>
  <conditionalFormatting sqref="D8:D92">
    <cfRule type="expression" dxfId="32" priority="38">
      <formula>YEAR($C8)&lt;YEAR(TODAY())</formula>
    </cfRule>
  </conditionalFormatting>
  <conditionalFormatting sqref="E10:E13">
    <cfRule type="expression" dxfId="31" priority="30">
      <formula>$A10=$A$4</formula>
    </cfRule>
    <cfRule type="expression" dxfId="30" priority="31">
      <formula>$B10=$B$4</formula>
    </cfRule>
    <cfRule type="expression" dxfId="29" priority="32">
      <formula>$A10=$A$6</formula>
    </cfRule>
    <cfRule type="expression" dxfId="28" priority="33">
      <formula>$B10=$B$6</formula>
    </cfRule>
  </conditionalFormatting>
  <conditionalFormatting sqref="AA10:AA13">
    <cfRule type="expression" dxfId="27" priority="26">
      <formula>$A10=$A$4</formula>
    </cfRule>
    <cfRule type="expression" dxfId="26" priority="27">
      <formula>$B10=$B$4</formula>
    </cfRule>
    <cfRule type="expression" dxfId="25" priority="28">
      <formula>$A10=$A$6</formula>
    </cfRule>
    <cfRule type="expression" dxfId="24" priority="29">
      <formula>$B10=$B$6</formula>
    </cfRule>
  </conditionalFormatting>
  <conditionalFormatting sqref="AD9:AD12 AF9:AF12">
    <cfRule type="expression" dxfId="23" priority="16">
      <formula>$A9=$A$4</formula>
    </cfRule>
    <cfRule type="expression" dxfId="22" priority="17">
      <formula>$B9=$B$4</formula>
    </cfRule>
    <cfRule type="expression" dxfId="21" priority="18">
      <formula>$A9=$A$6</formula>
    </cfRule>
    <cfRule type="expression" dxfId="20" priority="19">
      <formula>$B9=$B$6</formula>
    </cfRule>
  </conditionalFormatting>
  <conditionalFormatting sqref="AD13">
    <cfRule type="expression" dxfId="19" priority="12">
      <formula>$A13=$A$4</formula>
    </cfRule>
    <cfRule type="expression" dxfId="18" priority="13">
      <formula>$B13=$B$4</formula>
    </cfRule>
    <cfRule type="expression" dxfId="17" priority="14">
      <formula>$A13=$A$6</formula>
    </cfRule>
    <cfRule type="expression" dxfId="16" priority="15">
      <formula>$B13=$B$6</formula>
    </cfRule>
  </conditionalFormatting>
  <conditionalFormatting sqref="AF13">
    <cfRule type="expression" dxfId="15" priority="8">
      <formula>$A13=$A$4</formula>
    </cfRule>
    <cfRule type="expression" dxfId="14" priority="9">
      <formula>$B13=$B$4</formula>
    </cfRule>
    <cfRule type="expression" dxfId="13" priority="10">
      <formula>$A13=$A$6</formula>
    </cfRule>
    <cfRule type="expression" dxfId="12" priority="11">
      <formula>$B13=$B$6</formula>
    </cfRule>
  </conditionalFormatting>
  <conditionalFormatting sqref="D7">
    <cfRule type="expression" dxfId="11" priority="3">
      <formula>$A7=$A$4</formula>
    </cfRule>
    <cfRule type="expression" dxfId="10" priority="4">
      <formula>$B7=$B$4</formula>
    </cfRule>
    <cfRule type="expression" dxfId="9" priority="5">
      <formula>$A7=$A$6</formula>
    </cfRule>
    <cfRule type="expression" dxfId="8" priority="6">
      <formula>$B7=$B$6</formula>
    </cfRule>
  </conditionalFormatting>
  <conditionalFormatting sqref="D7">
    <cfRule type="expression" dxfId="7" priority="7">
      <formula>YEAR($C7)&lt;YEAR(TODAY())</formula>
    </cfRule>
  </conditionalFormatting>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60" id="{8204FA9E-8F4A-49AB-818A-8B14F34AB649}">
            <xm:f>NOT(ISBLANK(Setup!$C$9))</xm:f>
            <x14:dxf>
              <font>
                <b/>
                <i val="0"/>
                <color theme="0"/>
              </font>
              <fill>
                <patternFill>
                  <bgColor rgb="FF2F75B5"/>
                </patternFill>
              </fill>
            </x14:dxf>
          </x14:cfRule>
          <xm:sqref>F4 AE4</xm:sqref>
        </x14:conditionalFormatting>
        <x14:conditionalFormatting xmlns:xm="http://schemas.microsoft.com/office/excel/2006/main">
          <x14:cfRule type="expression" priority="43" stopIfTrue="1" id="{26EE6B8E-5AA4-4AB8-9C9B-F67D0702D07C}">
            <xm:f>ISBLANK(Setup!$C$10)</xm:f>
            <x14:dxf>
              <font>
                <color theme="0"/>
              </font>
              <fill>
                <patternFill patternType="none">
                  <bgColor auto="1"/>
                </patternFill>
              </fill>
            </x14:dxf>
          </x14:cfRule>
          <xm:sqref>B7:B92</xm:sqref>
        </x14:conditionalFormatting>
        <x14:conditionalFormatting xmlns:xm="http://schemas.microsoft.com/office/excel/2006/main">
          <x14:cfRule type="expression" priority="41" id="{A65F0B3B-58A0-4AF1-BEA1-3831C41B8449}">
            <xm:f>OR(AND(W2&lt;&gt;Setup!$C$6,W2&lt;&gt;Setup!$C$9),AND(ISBLANK(Setup!$C$10),W2&lt;&gt;Setup!$C$6))</xm:f>
            <x14:dxf>
              <font>
                <color rgb="FF9C0006"/>
              </font>
              <fill>
                <patternFill>
                  <bgColor rgb="FFFFC7CE"/>
                </patternFill>
              </fill>
            </x14:dxf>
          </x14:cfRule>
          <xm:sqref>W2</xm:sqref>
        </x14:conditionalFormatting>
        <x14:conditionalFormatting xmlns:xm="http://schemas.microsoft.com/office/excel/2006/main">
          <x14:cfRule type="expression" priority="40" stopIfTrue="1" id="{4F5BEF99-31E0-4EED-BE31-727BA1195F29}">
            <xm:f>ISBLANK(Setup!$C$10)</xm:f>
            <x14:dxf>
              <font>
                <color theme="0"/>
              </font>
            </x14:dxf>
          </x14:cfRule>
          <xm:sqref>AQ7:AQ92</xm:sqref>
        </x14:conditionalFormatting>
        <x14:conditionalFormatting xmlns:xm="http://schemas.microsoft.com/office/excel/2006/main">
          <x14:cfRule type="expression" priority="39" id="{ECBB5AD1-8641-4008-B840-62F13C3C15B6}">
            <xm:f>ISBLANK(Setup!$C$10)</xm:f>
            <x14:dxf>
              <font>
                <color theme="9" tint="0.59996337778862885"/>
              </font>
            </x14:dxf>
          </x14:cfRule>
          <xm:sqref>AQ4:AQ6</xm:sqref>
        </x14:conditionalFormatting>
      </x14:conditionalFormattings>
    </ext>
    <ext xmlns:x14="http://schemas.microsoft.com/office/spreadsheetml/2009/9/main" uri="{CCE6A557-97BC-4b89-ADB6-D9C93CAAB3DF}">
      <x14:dataValidations xmlns:xm="http://schemas.microsoft.com/office/excel/2006/main" xWindow="105" yWindow="347" count="1">
        <x14:dataValidation type="list" allowBlank="1" showInputMessage="1" showErrorMessage="1" xr:uid="{0380461A-37C2-4D38-A8E2-53A64DEB3688}">
          <x14:formula1>
            <xm:f>Setup!$L$2:$L$3</xm:f>
          </x14:formula1>
          <xm:sqref>W2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46E1A-EB27-49AA-8279-0299AEC6C072}">
  <sheetPr codeName="Sheet4">
    <tabColor theme="7" tint="0.59999389629810485"/>
  </sheetPr>
  <dimension ref="A1:O232"/>
  <sheetViews>
    <sheetView showGridLines="0" workbookViewId="0">
      <selection activeCell="C9" sqref="C9"/>
    </sheetView>
  </sheetViews>
  <sheetFormatPr defaultRowHeight="14.4" x14ac:dyDescent="0.3"/>
  <cols>
    <col min="1" max="1" width="16.33203125" customWidth="1"/>
    <col min="3" max="3" width="10.5546875" customWidth="1"/>
    <col min="4" max="4" width="10.6640625" customWidth="1"/>
    <col min="5" max="5" width="12.5546875" customWidth="1"/>
    <col min="6" max="6" width="10.88671875" customWidth="1"/>
    <col min="7" max="7" width="11.33203125" customWidth="1"/>
    <col min="8" max="13" width="10" customWidth="1"/>
  </cols>
  <sheetData>
    <row r="1" spans="1:6" x14ac:dyDescent="0.3">
      <c r="A1" s="141"/>
    </row>
    <row r="3" spans="1:6" ht="15.6" x14ac:dyDescent="0.3">
      <c r="A3" s="27" t="s">
        <v>23</v>
      </c>
      <c r="B3" s="28"/>
      <c r="C3" s="28"/>
      <c r="D3" s="28"/>
      <c r="E3" s="28"/>
      <c r="F3" s="29"/>
    </row>
    <row r="4" spans="1:6" ht="15.6" x14ac:dyDescent="0.3">
      <c r="A4" s="161" t="s">
        <v>120</v>
      </c>
      <c r="B4" s="31"/>
      <c r="C4" s="31"/>
      <c r="D4" s="31"/>
      <c r="E4" s="31"/>
      <c r="F4" s="32"/>
    </row>
    <row r="5" spans="1:6" x14ac:dyDescent="0.3">
      <c r="A5" s="30"/>
      <c r="B5" s="25" t="s">
        <v>18</v>
      </c>
      <c r="C5" s="24"/>
      <c r="D5" s="26" t="s">
        <v>121</v>
      </c>
      <c r="E5" s="31"/>
      <c r="F5" s="32"/>
    </row>
    <row r="6" spans="1:6" x14ac:dyDescent="0.3">
      <c r="A6" s="33"/>
      <c r="B6" s="34"/>
      <c r="C6" s="34"/>
      <c r="D6" s="34"/>
      <c r="E6" s="34"/>
      <c r="F6" s="35"/>
    </row>
    <row r="9" spans="1:6" x14ac:dyDescent="0.3">
      <c r="A9" s="45" t="s">
        <v>78</v>
      </c>
      <c r="C9" s="328">
        <v>2022</v>
      </c>
      <c r="D9" s="13">
        <v>44771</v>
      </c>
    </row>
    <row r="12" spans="1:6" x14ac:dyDescent="0.3">
      <c r="A12" s="45" t="s">
        <v>19</v>
      </c>
      <c r="B12" s="17" t="s">
        <v>34</v>
      </c>
      <c r="C12" s="39">
        <f>RATE(D18,0,-E16,E17)</f>
        <v>2.3046033158245261E-2</v>
      </c>
      <c r="D12" t="s">
        <v>35</v>
      </c>
    </row>
    <row r="13" spans="1:6" x14ac:dyDescent="0.3">
      <c r="D13" s="23" t="s">
        <v>23</v>
      </c>
      <c r="E13" s="20" t="s">
        <v>24</v>
      </c>
    </row>
    <row r="14" spans="1:6" x14ac:dyDescent="0.3">
      <c r="D14" s="23"/>
      <c r="E14" s="40" t="s">
        <v>26</v>
      </c>
    </row>
    <row r="15" spans="1:6" x14ac:dyDescent="0.3">
      <c r="C15" s="41" t="s">
        <v>16</v>
      </c>
      <c r="D15" s="42" t="s">
        <v>27</v>
      </c>
    </row>
    <row r="16" spans="1:6" x14ac:dyDescent="0.3">
      <c r="C16" s="328">
        <v>1990</v>
      </c>
      <c r="D16" s="329">
        <v>130.69999999999999</v>
      </c>
      <c r="E16" s="37">
        <v>1000</v>
      </c>
    </row>
    <row r="17" spans="1:7" x14ac:dyDescent="0.3">
      <c r="C17" s="328">
        <v>2021</v>
      </c>
      <c r="D17" s="328">
        <v>270.97000000000003</v>
      </c>
      <c r="E17" s="37">
        <f>E16*(D17/D16)</f>
        <v>2073.2211170619744</v>
      </c>
    </row>
    <row r="18" spans="1:7" x14ac:dyDescent="0.3">
      <c r="C18" t="s">
        <v>25</v>
      </c>
      <c r="D18">
        <f>C17-C16+1</f>
        <v>32</v>
      </c>
    </row>
    <row r="20" spans="1:7" x14ac:dyDescent="0.3">
      <c r="B20" s="17" t="s">
        <v>36</v>
      </c>
      <c r="C20" s="39">
        <f>RATE(D27,0,-E25,E26)</f>
        <v>2.3027967790931532E-2</v>
      </c>
      <c r="D20" t="s">
        <v>38</v>
      </c>
    </row>
    <row r="21" spans="1:7" x14ac:dyDescent="0.3">
      <c r="B21" s="17"/>
      <c r="C21" s="39"/>
      <c r="D21" t="s">
        <v>149</v>
      </c>
    </row>
    <row r="22" spans="1:7" x14ac:dyDescent="0.3">
      <c r="D22" s="23" t="s">
        <v>23</v>
      </c>
      <c r="E22" s="20" t="s">
        <v>37</v>
      </c>
    </row>
    <row r="23" spans="1:7" x14ac:dyDescent="0.3">
      <c r="D23" s="23"/>
      <c r="E23" s="40" t="s">
        <v>26</v>
      </c>
    </row>
    <row r="24" spans="1:7" x14ac:dyDescent="0.3">
      <c r="C24" s="41" t="s">
        <v>16</v>
      </c>
      <c r="D24" s="42" t="s">
        <v>27</v>
      </c>
    </row>
    <row r="25" spans="1:7" x14ac:dyDescent="0.3">
      <c r="C25" s="328">
        <v>1990</v>
      </c>
      <c r="D25" s="329">
        <v>132.19999999999999</v>
      </c>
      <c r="E25" s="37">
        <v>1000</v>
      </c>
    </row>
    <row r="26" spans="1:7" x14ac:dyDescent="0.3">
      <c r="C26" s="328">
        <v>2021</v>
      </c>
      <c r="D26" s="328">
        <v>273.92500000000001</v>
      </c>
      <c r="E26" s="37">
        <f>E25*(D26/D25)</f>
        <v>2072.0499243570353</v>
      </c>
    </row>
    <row r="27" spans="1:7" x14ac:dyDescent="0.3">
      <c r="C27" t="s">
        <v>25</v>
      </c>
      <c r="D27">
        <f>C26-C25+1</f>
        <v>32</v>
      </c>
    </row>
    <row r="31" spans="1:7" x14ac:dyDescent="0.3">
      <c r="A31" s="21" t="s">
        <v>28</v>
      </c>
      <c r="B31" s="13" t="s">
        <v>203</v>
      </c>
      <c r="C31" s="1"/>
      <c r="D31" s="1"/>
      <c r="E31" s="1"/>
      <c r="F31" s="1"/>
      <c r="G31" s="1"/>
    </row>
    <row r="32" spans="1:7" x14ac:dyDescent="0.3">
      <c r="B32" s="43" t="s">
        <v>29</v>
      </c>
      <c r="C32" s="1"/>
      <c r="D32" s="1"/>
      <c r="E32" s="1"/>
      <c r="F32" s="1"/>
      <c r="G32" s="1"/>
    </row>
    <row r="33" spans="2:7" x14ac:dyDescent="0.3">
      <c r="B33" t="s">
        <v>206</v>
      </c>
    </row>
    <row r="34" spans="2:7" x14ac:dyDescent="0.3">
      <c r="B34" s="13" t="s">
        <v>204</v>
      </c>
      <c r="C34" s="1"/>
      <c r="D34" s="1"/>
      <c r="E34" s="1"/>
      <c r="F34" s="1"/>
      <c r="G34" s="12" t="s">
        <v>194</v>
      </c>
    </row>
    <row r="35" spans="2:7" x14ac:dyDescent="0.3">
      <c r="B35" s="13" t="s">
        <v>32</v>
      </c>
      <c r="C35" s="330">
        <v>72</v>
      </c>
      <c r="D35" s="1" t="s">
        <v>205</v>
      </c>
      <c r="E35" s="1"/>
      <c r="F35" s="1"/>
      <c r="G35" s="12"/>
    </row>
    <row r="36" spans="2:7" x14ac:dyDescent="0.3">
      <c r="C36" s="13" t="s">
        <v>31</v>
      </c>
      <c r="D36" s="1" t="s">
        <v>30</v>
      </c>
      <c r="E36" s="1"/>
      <c r="F36" s="1"/>
      <c r="G36" s="12"/>
    </row>
    <row r="37" spans="2:7" x14ac:dyDescent="0.3">
      <c r="C37" s="331">
        <v>72</v>
      </c>
      <c r="D37" s="332">
        <v>27.4</v>
      </c>
      <c r="E37" s="1"/>
      <c r="F37" s="1"/>
      <c r="G37" s="12"/>
    </row>
    <row r="38" spans="2:7" x14ac:dyDescent="0.3">
      <c r="C38" s="331">
        <v>73</v>
      </c>
      <c r="D38" s="332">
        <v>26.5</v>
      </c>
      <c r="E38" s="1"/>
      <c r="F38" s="1"/>
      <c r="G38" s="12"/>
    </row>
    <row r="39" spans="2:7" x14ac:dyDescent="0.3">
      <c r="C39" s="331">
        <v>74</v>
      </c>
      <c r="D39" s="332">
        <v>25.5</v>
      </c>
      <c r="E39" s="1"/>
      <c r="F39" s="1"/>
      <c r="G39" s="12"/>
    </row>
    <row r="40" spans="2:7" x14ac:dyDescent="0.3">
      <c r="C40" s="331">
        <v>75</v>
      </c>
      <c r="D40" s="332">
        <v>24.6</v>
      </c>
      <c r="E40" s="1"/>
      <c r="F40" s="1"/>
      <c r="G40" s="12"/>
    </row>
    <row r="41" spans="2:7" x14ac:dyDescent="0.3">
      <c r="C41" s="331">
        <v>76</v>
      </c>
      <c r="D41" s="332">
        <v>23.7</v>
      </c>
      <c r="E41" s="1"/>
      <c r="F41" s="1"/>
      <c r="G41" s="12"/>
    </row>
    <row r="42" spans="2:7" x14ac:dyDescent="0.3">
      <c r="C42" s="331">
        <v>77</v>
      </c>
      <c r="D42" s="332">
        <v>22.9</v>
      </c>
      <c r="E42" s="1"/>
      <c r="F42" s="1"/>
      <c r="G42" s="12"/>
    </row>
    <row r="43" spans="2:7" x14ac:dyDescent="0.3">
      <c r="C43" s="331">
        <v>78</v>
      </c>
      <c r="D43" s="332">
        <v>22</v>
      </c>
      <c r="E43" s="1"/>
      <c r="F43" s="1"/>
      <c r="G43" s="12"/>
    </row>
    <row r="44" spans="2:7" x14ac:dyDescent="0.3">
      <c r="C44" s="331">
        <v>79</v>
      </c>
      <c r="D44" s="332">
        <v>21.1</v>
      </c>
      <c r="E44" s="1"/>
      <c r="F44" s="1"/>
      <c r="G44" s="12"/>
    </row>
    <row r="45" spans="2:7" x14ac:dyDescent="0.3">
      <c r="C45" s="331">
        <v>80</v>
      </c>
      <c r="D45" s="332">
        <v>20.2</v>
      </c>
      <c r="E45" s="1"/>
      <c r="F45" s="1"/>
      <c r="G45" s="12"/>
    </row>
    <row r="46" spans="2:7" x14ac:dyDescent="0.3">
      <c r="C46" s="331">
        <v>81</v>
      </c>
      <c r="D46" s="332">
        <v>19.399999999999999</v>
      </c>
      <c r="E46" s="1"/>
      <c r="F46" s="1"/>
      <c r="G46" s="12"/>
    </row>
    <row r="47" spans="2:7" x14ac:dyDescent="0.3">
      <c r="C47" s="331">
        <v>82</v>
      </c>
      <c r="D47" s="332">
        <v>18.5</v>
      </c>
      <c r="E47" s="1"/>
      <c r="F47" s="1"/>
      <c r="G47" s="12"/>
    </row>
    <row r="48" spans="2:7" x14ac:dyDescent="0.3">
      <c r="C48" s="331">
        <v>83</v>
      </c>
      <c r="D48" s="332">
        <v>17.7</v>
      </c>
      <c r="E48" s="1"/>
      <c r="F48" s="1"/>
      <c r="G48" s="12"/>
    </row>
    <row r="49" spans="3:7" x14ac:dyDescent="0.3">
      <c r="C49" s="331">
        <v>84</v>
      </c>
      <c r="D49" s="332">
        <v>16.8</v>
      </c>
      <c r="E49" s="1"/>
      <c r="F49" s="1"/>
      <c r="G49" s="12"/>
    </row>
    <row r="50" spans="3:7" x14ac:dyDescent="0.3">
      <c r="C50" s="331">
        <v>85</v>
      </c>
      <c r="D50" s="332">
        <v>16</v>
      </c>
      <c r="E50" s="1"/>
      <c r="F50" s="1"/>
      <c r="G50" s="12"/>
    </row>
    <row r="51" spans="3:7" x14ac:dyDescent="0.3">
      <c r="C51" s="331">
        <v>86</v>
      </c>
      <c r="D51" s="332">
        <v>15.2</v>
      </c>
      <c r="E51" s="1"/>
      <c r="F51" s="1"/>
      <c r="G51" s="12"/>
    </row>
    <row r="52" spans="3:7" x14ac:dyDescent="0.3">
      <c r="C52" s="331">
        <v>87</v>
      </c>
      <c r="D52" s="332">
        <v>14.4</v>
      </c>
      <c r="E52" s="1"/>
      <c r="F52" s="1"/>
      <c r="G52" s="12"/>
    </row>
    <row r="53" spans="3:7" x14ac:dyDescent="0.3">
      <c r="C53" s="331">
        <v>88</v>
      </c>
      <c r="D53" s="332">
        <v>13.7</v>
      </c>
      <c r="E53" s="1"/>
      <c r="F53" s="1"/>
      <c r="G53" s="12"/>
    </row>
    <row r="54" spans="3:7" x14ac:dyDescent="0.3">
      <c r="C54" s="331">
        <v>89</v>
      </c>
      <c r="D54" s="332">
        <v>12.9</v>
      </c>
      <c r="E54" s="1"/>
      <c r="F54" s="1"/>
      <c r="G54" s="12"/>
    </row>
    <row r="55" spans="3:7" x14ac:dyDescent="0.3">
      <c r="C55" s="331">
        <v>90</v>
      </c>
      <c r="D55" s="332">
        <v>12.2</v>
      </c>
      <c r="E55" s="1"/>
      <c r="F55" s="1"/>
      <c r="G55" s="12"/>
    </row>
    <row r="56" spans="3:7" x14ac:dyDescent="0.3">
      <c r="C56" s="331">
        <v>91</v>
      </c>
      <c r="D56" s="332">
        <v>11.5</v>
      </c>
      <c r="E56" s="1"/>
      <c r="F56" s="1"/>
      <c r="G56" s="12"/>
    </row>
    <row r="57" spans="3:7" x14ac:dyDescent="0.3">
      <c r="C57" s="331">
        <v>92</v>
      </c>
      <c r="D57" s="332">
        <v>10.8</v>
      </c>
      <c r="E57" s="1"/>
      <c r="F57" s="1"/>
      <c r="G57" s="12"/>
    </row>
    <row r="58" spans="3:7" x14ac:dyDescent="0.3">
      <c r="C58" s="331">
        <v>93</v>
      </c>
      <c r="D58" s="332">
        <v>10.1</v>
      </c>
      <c r="F58" s="38"/>
    </row>
    <row r="59" spans="3:7" x14ac:dyDescent="0.3">
      <c r="C59" s="328">
        <v>94</v>
      </c>
      <c r="D59" s="332">
        <v>9.5</v>
      </c>
      <c r="F59" s="38"/>
    </row>
    <row r="60" spans="3:7" x14ac:dyDescent="0.3">
      <c r="C60" s="331">
        <v>95</v>
      </c>
      <c r="D60" s="332">
        <v>8.9</v>
      </c>
      <c r="F60" s="38"/>
    </row>
    <row r="61" spans="3:7" x14ac:dyDescent="0.3">
      <c r="C61" s="331">
        <v>96</v>
      </c>
      <c r="D61" s="332">
        <v>8.4</v>
      </c>
      <c r="F61" s="38"/>
    </row>
    <row r="62" spans="3:7" x14ac:dyDescent="0.3">
      <c r="C62" s="331">
        <v>97</v>
      </c>
      <c r="D62" s="332">
        <v>7.8</v>
      </c>
      <c r="F62" s="38"/>
    </row>
    <row r="63" spans="3:7" x14ac:dyDescent="0.3">
      <c r="C63" s="331">
        <v>98</v>
      </c>
      <c r="D63" s="332">
        <v>7.3</v>
      </c>
      <c r="F63" s="38"/>
    </row>
    <row r="64" spans="3:7" x14ac:dyDescent="0.3">
      <c r="C64" s="331">
        <v>99</v>
      </c>
      <c r="D64" s="332">
        <v>6.8</v>
      </c>
      <c r="F64" s="38"/>
    </row>
    <row r="65" spans="1:6" x14ac:dyDescent="0.3">
      <c r="C65" s="331">
        <v>100</v>
      </c>
      <c r="D65" s="332">
        <v>6.4</v>
      </c>
      <c r="F65" s="38"/>
    </row>
    <row r="66" spans="1:6" x14ac:dyDescent="0.3">
      <c r="C66" s="331">
        <v>101</v>
      </c>
      <c r="D66" s="332">
        <v>6</v>
      </c>
      <c r="F66" s="38"/>
    </row>
    <row r="67" spans="1:6" x14ac:dyDescent="0.3">
      <c r="C67" s="331">
        <v>102</v>
      </c>
      <c r="D67" s="332">
        <v>5.6</v>
      </c>
    </row>
    <row r="71" spans="1:6" x14ac:dyDescent="0.3">
      <c r="A71" s="21" t="s">
        <v>42</v>
      </c>
    </row>
    <row r="72" spans="1:6" x14ac:dyDescent="0.3">
      <c r="A72" s="21"/>
      <c r="C72" s="17" t="s">
        <v>265</v>
      </c>
      <c r="D72" s="20" t="s">
        <v>264</v>
      </c>
    </row>
    <row r="73" spans="1:6" x14ac:dyDescent="0.3">
      <c r="A73" s="21"/>
      <c r="C73" s="17" t="s">
        <v>45</v>
      </c>
      <c r="D73" s="328">
        <v>67</v>
      </c>
      <c r="E73" t="s">
        <v>266</v>
      </c>
    </row>
    <row r="74" spans="1:6" x14ac:dyDescent="0.3">
      <c r="A74" s="21"/>
      <c r="C74" s="17" t="s">
        <v>47</v>
      </c>
      <c r="D74" s="328">
        <v>60</v>
      </c>
      <c r="E74" t="s">
        <v>48</v>
      </c>
    </row>
    <row r="75" spans="1:6" x14ac:dyDescent="0.3">
      <c r="A75" s="21"/>
      <c r="C75" s="17"/>
      <c r="D75" s="54"/>
    </row>
    <row r="76" spans="1:6" x14ac:dyDescent="0.3">
      <c r="A76" s="21"/>
      <c r="C76" s="17" t="s">
        <v>53</v>
      </c>
      <c r="D76" s="50" t="s">
        <v>54</v>
      </c>
    </row>
    <row r="77" spans="1:6" x14ac:dyDescent="0.3">
      <c r="A77" s="21"/>
      <c r="D77" s="333">
        <v>1</v>
      </c>
      <c r="E77" t="s">
        <v>267</v>
      </c>
    </row>
    <row r="78" spans="1:6" x14ac:dyDescent="0.3">
      <c r="A78" s="21"/>
      <c r="D78" s="59"/>
    </row>
    <row r="79" spans="1:6" x14ac:dyDescent="0.3">
      <c r="C79" s="17" t="s">
        <v>55</v>
      </c>
      <c r="D79" s="221"/>
    </row>
    <row r="80" spans="1:6" x14ac:dyDescent="0.3">
      <c r="C80" s="17" t="s">
        <v>145</v>
      </c>
      <c r="D80" s="20" t="s">
        <v>43</v>
      </c>
    </row>
    <row r="81" spans="2:11" x14ac:dyDescent="0.3">
      <c r="C81" s="17" t="s">
        <v>44</v>
      </c>
      <c r="D81" s="334">
        <f>5/9*0.01</f>
        <v>5.5555555555555558E-3</v>
      </c>
      <c r="E81" t="s">
        <v>46</v>
      </c>
      <c r="K81" s="18"/>
    </row>
    <row r="82" spans="2:11" x14ac:dyDescent="0.3">
      <c r="C82" s="17" t="s">
        <v>44</v>
      </c>
      <c r="D82" s="334">
        <f>5/12*0.01</f>
        <v>4.1666666666666666E-3</v>
      </c>
      <c r="E82" t="s">
        <v>52</v>
      </c>
      <c r="K82" s="18"/>
    </row>
    <row r="83" spans="2:11" x14ac:dyDescent="0.3">
      <c r="C83" s="17" t="s">
        <v>49</v>
      </c>
      <c r="D83" s="335">
        <v>0.08</v>
      </c>
      <c r="E83" t="s">
        <v>50</v>
      </c>
    </row>
    <row r="84" spans="2:11" x14ac:dyDescent="0.3">
      <c r="C84" s="17" t="s">
        <v>146</v>
      </c>
      <c r="D84" s="60" t="s">
        <v>147</v>
      </c>
    </row>
    <row r="85" spans="2:11" x14ac:dyDescent="0.3">
      <c r="C85" s="17" t="s">
        <v>44</v>
      </c>
      <c r="D85" s="334">
        <f>25/36*0.01</f>
        <v>6.9444444444444441E-3</v>
      </c>
      <c r="E85" t="s">
        <v>46</v>
      </c>
    </row>
    <row r="86" spans="2:11" x14ac:dyDescent="0.3">
      <c r="C86" s="17" t="s">
        <v>44</v>
      </c>
      <c r="D86" s="334">
        <f>5/12*0.01</f>
        <v>4.1666666666666666E-3</v>
      </c>
      <c r="E86" t="s">
        <v>52</v>
      </c>
    </row>
    <row r="87" spans="2:11" x14ac:dyDescent="0.3">
      <c r="C87" s="17"/>
      <c r="D87" s="58"/>
    </row>
    <row r="88" spans="2:11" x14ac:dyDescent="0.3">
      <c r="C88" s="17" t="s">
        <v>82</v>
      </c>
      <c r="D88" s="60" t="s">
        <v>83</v>
      </c>
    </row>
    <row r="89" spans="2:11" x14ac:dyDescent="0.3">
      <c r="C89" s="17" t="s">
        <v>80</v>
      </c>
      <c r="D89" s="336">
        <v>2035</v>
      </c>
      <c r="E89" t="s">
        <v>81</v>
      </c>
    </row>
    <row r="90" spans="2:11" x14ac:dyDescent="0.3">
      <c r="C90" s="17" t="s">
        <v>84</v>
      </c>
      <c r="D90" s="333">
        <v>0.8</v>
      </c>
      <c r="E90" t="s">
        <v>85</v>
      </c>
    </row>
    <row r="92" spans="2:11" x14ac:dyDescent="0.3">
      <c r="C92" s="49" t="s">
        <v>51</v>
      </c>
      <c r="D92" t="s">
        <v>87</v>
      </c>
      <c r="E92" s="49" t="s">
        <v>51</v>
      </c>
      <c r="F92" t="s">
        <v>87</v>
      </c>
    </row>
    <row r="93" spans="2:11" x14ac:dyDescent="0.3">
      <c r="B93" t="s">
        <v>31</v>
      </c>
      <c r="C93" s="49">
        <f>Setup!C6</f>
        <v>0</v>
      </c>
      <c r="D93" s="49">
        <f>Setup!C6</f>
        <v>0</v>
      </c>
      <c r="E93" s="49">
        <f>Setup!C9</f>
        <v>0</v>
      </c>
      <c r="F93" s="49">
        <f>Setup!C9</f>
        <v>0</v>
      </c>
    </row>
    <row r="94" spans="2:11" x14ac:dyDescent="0.3">
      <c r="B94">
        <v>62</v>
      </c>
      <c r="C94" s="7" t="e">
        <f>C$99-(C$99*$D$81*36)-(C$99*$D$82*24)</f>
        <v>#VALUE!</v>
      </c>
      <c r="D94" s="4" t="e">
        <f>$D$90*C94</f>
        <v>#VALUE!</v>
      </c>
      <c r="E94" s="7" t="e">
        <f>IF(Setup!C$91=0,E$99-(E$99*$D$85*36)-(E$99*$D$86*24),E$99-(E$99*$D$81*36)-(E$99*$D$82*24))</f>
        <v>#VALUE!</v>
      </c>
      <c r="F94" s="4" t="e">
        <f>$D$90*E94</f>
        <v>#VALUE!</v>
      </c>
    </row>
    <row r="95" spans="2:11" x14ac:dyDescent="0.3">
      <c r="B95">
        <v>63</v>
      </c>
      <c r="C95" s="7" t="e">
        <f>C$99-(C$99*$D$81*36)-(C$99*$D$82*12)</f>
        <v>#VALUE!</v>
      </c>
      <c r="D95" s="4" t="e">
        <f t="shared" ref="D95:D102" si="0">$D$90*C95</f>
        <v>#VALUE!</v>
      </c>
      <c r="E95" s="7" t="e">
        <f>IF(Setup!C$91=0,E$99-(E$99*$D$85*36)-(E$99*$D$86*12),E$99-(E$99*$D$81*36)-(E$99*$D$82*12))</f>
        <v>#VALUE!</v>
      </c>
      <c r="F95" s="4" t="e">
        <f t="shared" ref="F95:F102" si="1">$D$90*E95</f>
        <v>#VALUE!</v>
      </c>
    </row>
    <row r="96" spans="2:11" x14ac:dyDescent="0.3">
      <c r="B96">
        <v>64</v>
      </c>
      <c r="C96" s="7" t="e">
        <f>C$99-(C$99*$D$81*36)</f>
        <v>#VALUE!</v>
      </c>
      <c r="D96" s="4" t="e">
        <f t="shared" si="0"/>
        <v>#VALUE!</v>
      </c>
      <c r="E96" s="7" t="e">
        <f>IF(Setup!C$91=0,E$99-(E$99*$D$85*36),E$99-(E$99*$D$81*36))</f>
        <v>#VALUE!</v>
      </c>
      <c r="F96" s="4" t="e">
        <f t="shared" si="1"/>
        <v>#VALUE!</v>
      </c>
    </row>
    <row r="97" spans="1:6" x14ac:dyDescent="0.3">
      <c r="B97">
        <v>65</v>
      </c>
      <c r="C97" s="7" t="e">
        <f>C$99-(C$99*$D$81*24)</f>
        <v>#VALUE!</v>
      </c>
      <c r="D97" s="4" t="e">
        <f t="shared" si="0"/>
        <v>#VALUE!</v>
      </c>
      <c r="E97" s="7" t="e">
        <f>IF(Setup!C$91=0,E$99-(E$99*$D$85*24),E$99-(E$99*$D$81*24))</f>
        <v>#VALUE!</v>
      </c>
      <c r="F97" s="4" t="e">
        <f t="shared" si="1"/>
        <v>#VALUE!</v>
      </c>
    </row>
    <row r="98" spans="1:6" x14ac:dyDescent="0.3">
      <c r="B98">
        <v>66</v>
      </c>
      <c r="C98" s="7" t="e">
        <f>C$99-(C$99*$D$81*12)</f>
        <v>#VALUE!</v>
      </c>
      <c r="D98" s="4" t="e">
        <f t="shared" si="0"/>
        <v>#VALUE!</v>
      </c>
      <c r="E98" s="7" t="e">
        <f>IF(Setup!C$91=0,E$99-(E$99*$D$85*12),E$99-(E$99*$D$81*12))</f>
        <v>#VALUE!</v>
      </c>
      <c r="F98" s="4" t="e">
        <f t="shared" si="1"/>
        <v>#VALUE!</v>
      </c>
    </row>
    <row r="99" spans="1:6" x14ac:dyDescent="0.3">
      <c r="B99">
        <v>67</v>
      </c>
      <c r="C99" s="7" t="e">
        <f>Setup!K90*12</f>
        <v>#VALUE!</v>
      </c>
      <c r="D99" s="4" t="e">
        <f t="shared" si="0"/>
        <v>#VALUE!</v>
      </c>
      <c r="E99" s="7" t="e">
        <f>Setup!K91*12</f>
        <v>#VALUE!</v>
      </c>
      <c r="F99" s="4" t="e">
        <f t="shared" si="1"/>
        <v>#VALUE!</v>
      </c>
    </row>
    <row r="100" spans="1:6" x14ac:dyDescent="0.3">
      <c r="B100">
        <v>68</v>
      </c>
      <c r="C100" s="7" t="e">
        <f>C99*(1+$D$83)</f>
        <v>#VALUE!</v>
      </c>
      <c r="D100" s="4" t="e">
        <f t="shared" si="0"/>
        <v>#VALUE!</v>
      </c>
      <c r="E100" s="7" t="e">
        <f>IF(Setup!C91=0,E99,E99*(1+$D$83))</f>
        <v>#VALUE!</v>
      </c>
      <c r="F100" s="4" t="e">
        <f t="shared" si="1"/>
        <v>#VALUE!</v>
      </c>
    </row>
    <row r="101" spans="1:6" x14ac:dyDescent="0.3">
      <c r="B101">
        <v>69</v>
      </c>
      <c r="C101" s="7" t="e">
        <f t="shared" ref="C101:C102" si="2">C100*(1+$D$83)</f>
        <v>#VALUE!</v>
      </c>
      <c r="D101" s="4" t="e">
        <f t="shared" si="0"/>
        <v>#VALUE!</v>
      </c>
      <c r="E101" s="7" t="e">
        <f>IF(Setup!C91=0,E99,E100*(1+$D$83))</f>
        <v>#VALUE!</v>
      </c>
      <c r="F101" s="4" t="e">
        <f t="shared" si="1"/>
        <v>#VALUE!</v>
      </c>
    </row>
    <row r="102" spans="1:6" x14ac:dyDescent="0.3">
      <c r="B102">
        <v>70</v>
      </c>
      <c r="C102" s="7" t="e">
        <f t="shared" si="2"/>
        <v>#VALUE!</v>
      </c>
      <c r="D102" s="4" t="e">
        <f t="shared" si="0"/>
        <v>#VALUE!</v>
      </c>
      <c r="E102" s="7" t="e">
        <f>IF(Setup!C91=0,E99,E101*(1+$D$83))</f>
        <v>#VALUE!</v>
      </c>
      <c r="F102" s="4" t="e">
        <f t="shared" si="1"/>
        <v>#VALUE!</v>
      </c>
    </row>
    <row r="106" spans="1:6" x14ac:dyDescent="0.3">
      <c r="A106" s="3" t="s">
        <v>56</v>
      </c>
    </row>
    <row r="107" spans="1:6" x14ac:dyDescent="0.3">
      <c r="A107" s="1"/>
    </row>
    <row r="108" spans="1:6" x14ac:dyDescent="0.3">
      <c r="A108" s="1"/>
      <c r="B108" t="s">
        <v>79</v>
      </c>
    </row>
    <row r="109" spans="1:6" x14ac:dyDescent="0.3">
      <c r="A109" s="1"/>
      <c r="D109" s="328" t="s">
        <v>62</v>
      </c>
      <c r="E109" s="328"/>
      <c r="F109" s="328"/>
    </row>
    <row r="110" spans="1:6" x14ac:dyDescent="0.3">
      <c r="A110" s="1"/>
      <c r="D110" s="328" t="s">
        <v>64</v>
      </c>
      <c r="E110" s="328"/>
      <c r="F110" s="328"/>
    </row>
    <row r="111" spans="1:6" x14ac:dyDescent="0.3">
      <c r="A111" s="1"/>
      <c r="D111" s="328" t="s">
        <v>66</v>
      </c>
      <c r="E111" s="328"/>
      <c r="F111" s="328"/>
    </row>
    <row r="112" spans="1:6" x14ac:dyDescent="0.3">
      <c r="A112" s="1"/>
      <c r="D112" s="328" t="s">
        <v>65</v>
      </c>
      <c r="E112" s="328"/>
      <c r="F112" s="328"/>
    </row>
    <row r="113" spans="1:15" x14ac:dyDescent="0.3">
      <c r="A113" s="1"/>
      <c r="D113" s="328"/>
      <c r="E113" s="328"/>
      <c r="F113" s="328"/>
    </row>
    <row r="114" spans="1:15" x14ac:dyDescent="0.3">
      <c r="A114" s="1"/>
    </row>
    <row r="115" spans="1:15" x14ac:dyDescent="0.3">
      <c r="A115" s="1"/>
    </row>
    <row r="116" spans="1:15" x14ac:dyDescent="0.3">
      <c r="A116" s="1"/>
      <c r="C116" s="17" t="s">
        <v>57</v>
      </c>
      <c r="D116" s="20" t="s">
        <v>58</v>
      </c>
      <c r="O116" s="54"/>
    </row>
    <row r="117" spans="1:15" x14ac:dyDescent="0.3">
      <c r="D117" t="s">
        <v>59</v>
      </c>
    </row>
    <row r="118" spans="1:15" x14ac:dyDescent="0.3">
      <c r="D118" t="s">
        <v>138</v>
      </c>
    </row>
    <row r="119" spans="1:15" x14ac:dyDescent="0.3">
      <c r="D119" t="s">
        <v>60</v>
      </c>
      <c r="E119" t="s">
        <v>62</v>
      </c>
      <c r="F119" t="s">
        <v>67</v>
      </c>
    </row>
    <row r="120" spans="1:15" x14ac:dyDescent="0.3">
      <c r="D120" s="333">
        <v>0.85</v>
      </c>
      <c r="E120" s="337">
        <v>34000</v>
      </c>
      <c r="F120" s="337">
        <v>44000</v>
      </c>
    </row>
    <row r="121" spans="1:15" x14ac:dyDescent="0.3">
      <c r="D121" s="333">
        <v>0.5</v>
      </c>
      <c r="E121" s="337">
        <v>25000</v>
      </c>
      <c r="F121" s="337">
        <v>32000</v>
      </c>
    </row>
    <row r="124" spans="1:15" x14ac:dyDescent="0.3">
      <c r="B124" s="79" t="s">
        <v>100</v>
      </c>
      <c r="C124" s="100"/>
      <c r="D124" s="100"/>
      <c r="E124" s="100"/>
      <c r="F124" s="100"/>
      <c r="G124" s="100"/>
      <c r="H124" s="100"/>
      <c r="I124" s="100"/>
      <c r="J124" s="100"/>
      <c r="K124" s="100"/>
      <c r="L124" s="100"/>
      <c r="M124" s="66"/>
    </row>
    <row r="125" spans="1:15" x14ac:dyDescent="0.3">
      <c r="B125" s="105"/>
      <c r="C125" s="48"/>
      <c r="D125" s="48"/>
      <c r="E125" s="48"/>
      <c r="F125" s="48"/>
      <c r="G125" s="48"/>
      <c r="H125" s="48"/>
      <c r="I125" s="48"/>
      <c r="J125" s="48"/>
      <c r="K125" s="48"/>
      <c r="L125" s="48"/>
      <c r="M125" s="67"/>
    </row>
    <row r="126" spans="1:15" x14ac:dyDescent="0.3">
      <c r="B126" s="84" t="s">
        <v>77</v>
      </c>
      <c r="E126" s="20" t="s">
        <v>72</v>
      </c>
      <c r="J126" s="48"/>
      <c r="K126" s="48"/>
      <c r="L126" s="48"/>
      <c r="M126" s="67"/>
    </row>
    <row r="127" spans="1:15" x14ac:dyDescent="0.3">
      <c r="B127" s="84"/>
      <c r="D127" t="s">
        <v>62</v>
      </c>
      <c r="E127" t="s">
        <v>67</v>
      </c>
      <c r="F127" t="s">
        <v>68</v>
      </c>
      <c r="J127" s="48"/>
      <c r="K127" s="48"/>
      <c r="L127" s="48"/>
      <c r="M127" s="67"/>
    </row>
    <row r="128" spans="1:15" x14ac:dyDescent="0.3">
      <c r="B128" s="84"/>
      <c r="C128" t="s">
        <v>69</v>
      </c>
      <c r="D128" s="337">
        <v>12950</v>
      </c>
      <c r="E128" s="337">
        <v>25900</v>
      </c>
      <c r="F128" s="337">
        <v>19400</v>
      </c>
      <c r="J128" s="48"/>
      <c r="K128" s="48"/>
      <c r="L128" s="48"/>
      <c r="M128" s="67"/>
    </row>
    <row r="129" spans="1:15" x14ac:dyDescent="0.3">
      <c r="B129" s="84"/>
      <c r="C129" t="s">
        <v>75</v>
      </c>
      <c r="D129" s="337">
        <f>14700-12950</f>
        <v>1750</v>
      </c>
      <c r="E129" s="337">
        <f>27300-25900</f>
        <v>1400</v>
      </c>
      <c r="F129" s="337">
        <f>21150-19400</f>
        <v>1750</v>
      </c>
      <c r="G129" t="s">
        <v>70</v>
      </c>
      <c r="J129" s="48"/>
      <c r="K129" s="48"/>
      <c r="L129" s="48"/>
      <c r="M129" s="67"/>
    </row>
    <row r="130" spans="1:15" x14ac:dyDescent="0.3">
      <c r="B130" s="84"/>
      <c r="C130" t="s">
        <v>76</v>
      </c>
      <c r="D130" s="337"/>
      <c r="E130" s="337">
        <f>E129</f>
        <v>1400</v>
      </c>
      <c r="F130" s="337"/>
      <c r="G130" t="s">
        <v>71</v>
      </c>
      <c r="J130" s="48"/>
      <c r="K130" s="48"/>
      <c r="L130" s="48"/>
      <c r="M130" s="67"/>
    </row>
    <row r="131" spans="1:15" x14ac:dyDescent="0.3">
      <c r="B131" s="84"/>
      <c r="E131" s="4"/>
      <c r="J131" s="48"/>
      <c r="K131" s="48"/>
      <c r="L131" s="48"/>
      <c r="M131" s="67"/>
    </row>
    <row r="132" spans="1:15" x14ac:dyDescent="0.3">
      <c r="B132" s="84"/>
      <c r="D132" t="s">
        <v>74</v>
      </c>
      <c r="E132" t="s">
        <v>75</v>
      </c>
      <c r="F132" t="s">
        <v>76</v>
      </c>
      <c r="J132" s="48"/>
      <c r="K132" s="48"/>
      <c r="L132" s="48"/>
      <c r="M132" s="67"/>
    </row>
    <row r="133" spans="1:15" x14ac:dyDescent="0.3">
      <c r="B133" s="84"/>
      <c r="C133" s="57" t="str">
        <f>D$111</f>
        <v>Head of household</v>
      </c>
      <c r="D133" s="55">
        <f>F128</f>
        <v>19400</v>
      </c>
      <c r="E133" s="56">
        <f>F128+F129</f>
        <v>21150</v>
      </c>
      <c r="F133" s="55">
        <f>E133</f>
        <v>21150</v>
      </c>
      <c r="J133" s="48"/>
      <c r="K133" s="48"/>
      <c r="L133" s="48"/>
      <c r="M133" s="67"/>
      <c r="O133" s="17"/>
    </row>
    <row r="134" spans="1:15" x14ac:dyDescent="0.3">
      <c r="B134" s="84"/>
      <c r="C134" s="57" t="str">
        <f>D$110</f>
        <v>Married filing jointly</v>
      </c>
      <c r="D134" s="55">
        <f>E128</f>
        <v>25900</v>
      </c>
      <c r="E134" s="56">
        <f>E128+E129</f>
        <v>27300</v>
      </c>
      <c r="F134" s="55">
        <f>E128+E129+E130</f>
        <v>28700</v>
      </c>
      <c r="J134" s="48"/>
      <c r="K134" s="48"/>
      <c r="L134" s="48"/>
      <c r="M134" s="67"/>
      <c r="O134" s="17"/>
    </row>
    <row r="135" spans="1:15" x14ac:dyDescent="0.3">
      <c r="B135" s="84"/>
      <c r="C135" s="57" t="str">
        <f>D$112</f>
        <v>Married filing separately</v>
      </c>
      <c r="D135" s="55">
        <f>D136</f>
        <v>12950</v>
      </c>
      <c r="E135" s="55">
        <f t="shared" ref="E135:F135" si="3">E136</f>
        <v>14700</v>
      </c>
      <c r="F135" s="55">
        <f t="shared" si="3"/>
        <v>14700</v>
      </c>
      <c r="J135" s="48"/>
      <c r="K135" s="48"/>
      <c r="L135" s="48"/>
      <c r="M135" s="67"/>
      <c r="O135" s="17"/>
    </row>
    <row r="136" spans="1:15" x14ac:dyDescent="0.3">
      <c r="C136" s="57" t="str">
        <f>D$109</f>
        <v>Single</v>
      </c>
      <c r="D136" s="55">
        <f>D128</f>
        <v>12950</v>
      </c>
      <c r="E136" s="56">
        <f>D128+D129</f>
        <v>14700</v>
      </c>
      <c r="F136" s="55">
        <f>E136</f>
        <v>14700</v>
      </c>
      <c r="J136" s="48"/>
      <c r="K136" s="48"/>
      <c r="L136" s="48"/>
      <c r="M136" s="67"/>
      <c r="O136" s="17"/>
    </row>
    <row r="137" spans="1:15" x14ac:dyDescent="0.3">
      <c r="B137" s="105"/>
      <c r="C137" s="48"/>
      <c r="D137" s="48"/>
      <c r="E137" s="48"/>
      <c r="F137" s="48"/>
      <c r="G137" s="48"/>
      <c r="H137" s="48"/>
      <c r="I137" s="48"/>
      <c r="J137" s="48"/>
      <c r="K137" s="48"/>
      <c r="L137" s="48"/>
      <c r="M137" s="67"/>
    </row>
    <row r="138" spans="1:15" x14ac:dyDescent="0.3">
      <c r="A138" s="1"/>
      <c r="B138" s="84" t="s">
        <v>99</v>
      </c>
      <c r="C138" s="48"/>
      <c r="D138" s="48" t="s">
        <v>63</v>
      </c>
      <c r="E138" s="101"/>
      <c r="F138" s="48"/>
      <c r="G138" s="48"/>
      <c r="H138" s="48"/>
      <c r="I138" s="48"/>
      <c r="J138" s="48"/>
      <c r="K138" s="48"/>
      <c r="L138" s="48"/>
      <c r="M138" s="67"/>
    </row>
    <row r="139" spans="1:15" x14ac:dyDescent="0.3">
      <c r="A139" s="1"/>
      <c r="B139" s="84"/>
      <c r="C139" s="48"/>
      <c r="D139" s="102" t="s">
        <v>73</v>
      </c>
      <c r="E139" s="101"/>
      <c r="F139" s="48"/>
      <c r="G139" s="48"/>
      <c r="H139" s="48"/>
      <c r="I139" s="48"/>
      <c r="J139" s="48"/>
      <c r="K139" s="48"/>
      <c r="L139" s="48"/>
      <c r="M139" s="67"/>
      <c r="N139" s="20"/>
    </row>
    <row r="140" spans="1:15" x14ac:dyDescent="0.3">
      <c r="A140" s="1"/>
      <c r="B140" s="84"/>
      <c r="C140" s="48"/>
      <c r="D140" s="102" t="s">
        <v>98</v>
      </c>
      <c r="E140" s="101"/>
      <c r="F140" s="48"/>
      <c r="G140" s="48"/>
      <c r="H140" s="48"/>
      <c r="I140" s="48"/>
      <c r="J140" s="48"/>
      <c r="K140" s="48"/>
      <c r="L140" s="48"/>
      <c r="M140" s="67"/>
      <c r="N140" s="20"/>
    </row>
    <row r="141" spans="1:15" x14ac:dyDescent="0.3">
      <c r="A141" s="1"/>
      <c r="B141" s="84"/>
      <c r="C141" s="48"/>
      <c r="D141" s="103"/>
      <c r="E141" s="103"/>
      <c r="F141" s="103"/>
      <c r="G141" s="103"/>
      <c r="H141" s="103"/>
      <c r="I141" s="48"/>
      <c r="J141" s="48"/>
      <c r="K141" s="48"/>
      <c r="L141" s="48"/>
      <c r="M141" s="67"/>
      <c r="N141" s="20"/>
    </row>
    <row r="142" spans="1:15" x14ac:dyDescent="0.3">
      <c r="A142" s="1"/>
      <c r="B142" s="84"/>
      <c r="C142" s="48" t="s">
        <v>102</v>
      </c>
      <c r="D142" s="103"/>
      <c r="E142" s="103"/>
      <c r="F142" s="103"/>
      <c r="G142" s="103"/>
      <c r="H142" s="103"/>
      <c r="I142" s="48"/>
      <c r="J142" s="48"/>
      <c r="K142" s="48"/>
      <c r="L142" s="48"/>
      <c r="M142" s="67"/>
      <c r="N142" s="20"/>
    </row>
    <row r="143" spans="1:15" x14ac:dyDescent="0.3">
      <c r="A143" s="1"/>
      <c r="B143" s="84"/>
      <c r="C143" s="48"/>
      <c r="D143" s="338">
        <v>0.1</v>
      </c>
      <c r="E143" s="338">
        <v>0.12</v>
      </c>
      <c r="F143" s="338">
        <v>0.22</v>
      </c>
      <c r="G143" s="338">
        <v>0.24</v>
      </c>
      <c r="H143" s="338">
        <v>0.32</v>
      </c>
      <c r="I143" s="338">
        <v>0.35</v>
      </c>
      <c r="J143" s="338">
        <v>0.37</v>
      </c>
      <c r="K143" s="48"/>
      <c r="L143" s="48"/>
      <c r="M143" s="67"/>
      <c r="N143" s="20"/>
    </row>
    <row r="144" spans="1:15" x14ac:dyDescent="0.3">
      <c r="A144" s="1"/>
      <c r="B144" s="84"/>
      <c r="C144" s="57" t="str">
        <f>D$111</f>
        <v>Head of household</v>
      </c>
      <c r="D144" s="339">
        <v>14650</v>
      </c>
      <c r="E144" s="340">
        <v>55900</v>
      </c>
      <c r="F144" s="341">
        <v>89050</v>
      </c>
      <c r="G144" s="341">
        <v>170050</v>
      </c>
      <c r="H144" s="341">
        <v>215950</v>
      </c>
      <c r="I144" s="341">
        <v>539900</v>
      </c>
      <c r="K144" s="48"/>
      <c r="L144" s="48"/>
      <c r="M144" s="67"/>
      <c r="N144" s="20"/>
    </row>
    <row r="145" spans="1:14" x14ac:dyDescent="0.3">
      <c r="A145" s="1"/>
      <c r="B145" s="84"/>
      <c r="C145" s="57" t="str">
        <f>D$110</f>
        <v>Married filing jointly</v>
      </c>
      <c r="D145" s="339">
        <v>20550</v>
      </c>
      <c r="E145" s="340">
        <v>83550</v>
      </c>
      <c r="F145" s="341">
        <v>178150</v>
      </c>
      <c r="G145" s="341">
        <v>340100</v>
      </c>
      <c r="H145" s="341">
        <v>431900</v>
      </c>
      <c r="I145" s="341">
        <v>647850</v>
      </c>
      <c r="K145" s="48"/>
      <c r="L145" s="48"/>
      <c r="M145" s="67"/>
      <c r="N145" s="20"/>
    </row>
    <row r="146" spans="1:14" x14ac:dyDescent="0.3">
      <c r="A146" s="1"/>
      <c r="B146" s="84"/>
      <c r="C146" s="57" t="str">
        <f>D$112</f>
        <v>Married filing separately</v>
      </c>
      <c r="D146" s="339">
        <v>10275</v>
      </c>
      <c r="E146" s="340">
        <v>41775</v>
      </c>
      <c r="F146" s="341">
        <v>89075</v>
      </c>
      <c r="G146" s="341">
        <v>170050</v>
      </c>
      <c r="H146" s="341">
        <v>215950</v>
      </c>
      <c r="I146" s="341">
        <v>323925</v>
      </c>
      <c r="K146" s="48"/>
      <c r="L146" s="48"/>
      <c r="M146" s="67"/>
      <c r="N146" s="20"/>
    </row>
    <row r="147" spans="1:14" x14ac:dyDescent="0.3">
      <c r="A147" s="1"/>
      <c r="B147" s="84"/>
      <c r="C147" s="57" t="str">
        <f>D$109</f>
        <v>Single</v>
      </c>
      <c r="D147" s="340">
        <v>10275</v>
      </c>
      <c r="E147" s="340">
        <v>41775</v>
      </c>
      <c r="F147" s="340">
        <v>89075</v>
      </c>
      <c r="G147" s="340">
        <v>170050</v>
      </c>
      <c r="H147" s="340">
        <v>215950</v>
      </c>
      <c r="I147" s="340">
        <v>539900</v>
      </c>
      <c r="K147" s="48"/>
      <c r="L147" s="48"/>
      <c r="M147" s="67"/>
      <c r="N147" s="20"/>
    </row>
    <row r="148" spans="1:14" x14ac:dyDescent="0.3">
      <c r="A148" s="1"/>
      <c r="B148" s="84"/>
      <c r="C148" s="48"/>
      <c r="D148" s="102"/>
      <c r="E148" s="101"/>
      <c r="F148" s="48"/>
      <c r="G148" s="48"/>
      <c r="H148" s="48"/>
      <c r="I148" s="48"/>
      <c r="J148" s="48"/>
      <c r="K148" s="48"/>
      <c r="L148" s="48"/>
      <c r="M148" s="67"/>
      <c r="N148" s="20"/>
    </row>
    <row r="149" spans="1:14" x14ac:dyDescent="0.3">
      <c r="A149" s="1"/>
      <c r="B149" s="84"/>
      <c r="D149" s="111" t="s">
        <v>101</v>
      </c>
      <c r="E149" s="112"/>
      <c r="F149" s="112"/>
      <c r="G149" s="113"/>
      <c r="H149" s="95"/>
      <c r="I149" s="95"/>
      <c r="J149" s="93"/>
      <c r="K149" s="48"/>
      <c r="L149" s="48"/>
      <c r="M149" s="67"/>
      <c r="N149" s="20"/>
    </row>
    <row r="150" spans="1:14" x14ac:dyDescent="0.3">
      <c r="A150" s="1"/>
      <c r="B150" s="84"/>
      <c r="D150" s="114" t="s">
        <v>103</v>
      </c>
      <c r="E150" s="46" t="s">
        <v>104</v>
      </c>
      <c r="F150" s="46" t="s">
        <v>105</v>
      </c>
      <c r="G150" s="115" t="s">
        <v>106</v>
      </c>
      <c r="H150" s="95"/>
      <c r="I150" s="95"/>
      <c r="J150" s="93"/>
      <c r="K150" s="48"/>
      <c r="L150" s="48"/>
      <c r="M150" s="67"/>
      <c r="N150" s="20"/>
    </row>
    <row r="151" spans="1:14" x14ac:dyDescent="0.3">
      <c r="A151" s="1"/>
      <c r="B151" s="84"/>
      <c r="D151" s="116">
        <v>0</v>
      </c>
      <c r="E151" s="95">
        <f>D144</f>
        <v>14650</v>
      </c>
      <c r="G151" s="117">
        <f>D$143</f>
        <v>0.1</v>
      </c>
      <c r="H151" s="95"/>
      <c r="I151" s="95"/>
      <c r="J151" s="93"/>
      <c r="K151" s="48"/>
      <c r="L151" s="48"/>
      <c r="M151" s="67"/>
      <c r="N151" s="20"/>
    </row>
    <row r="152" spans="1:14" x14ac:dyDescent="0.3">
      <c r="A152" s="1"/>
      <c r="B152" s="84"/>
      <c r="D152" s="116">
        <f t="shared" ref="D152:D157" si="4">E151+1</f>
        <v>14651</v>
      </c>
      <c r="E152" s="95">
        <f>E144</f>
        <v>55900</v>
      </c>
      <c r="F152" s="95">
        <f>D144*D$143</f>
        <v>1465</v>
      </c>
      <c r="G152" s="117">
        <f>E$143</f>
        <v>0.12</v>
      </c>
      <c r="H152" s="95"/>
      <c r="I152" s="95"/>
      <c r="J152" s="93"/>
      <c r="K152" s="48"/>
      <c r="L152" s="48"/>
      <c r="M152" s="67"/>
      <c r="N152" s="20"/>
    </row>
    <row r="153" spans="1:14" x14ac:dyDescent="0.3">
      <c r="A153" s="1"/>
      <c r="B153" s="84"/>
      <c r="D153" s="116">
        <f t="shared" si="4"/>
        <v>55901</v>
      </c>
      <c r="E153" s="95">
        <f>F144</f>
        <v>89050</v>
      </c>
      <c r="F153" s="95">
        <f>F152+((E144-D144)*E$143)</f>
        <v>6415</v>
      </c>
      <c r="G153" s="117">
        <f>F$143</f>
        <v>0.22</v>
      </c>
      <c r="H153" s="95"/>
      <c r="I153" s="95"/>
      <c r="J153" s="93"/>
      <c r="K153" s="48"/>
      <c r="L153" s="48"/>
      <c r="M153" s="67"/>
      <c r="N153" s="20"/>
    </row>
    <row r="154" spans="1:14" x14ac:dyDescent="0.3">
      <c r="A154" s="1"/>
      <c r="B154" s="84"/>
      <c r="D154" s="116">
        <f t="shared" si="4"/>
        <v>89051</v>
      </c>
      <c r="E154" s="95">
        <f>G144</f>
        <v>170050</v>
      </c>
      <c r="F154" s="95">
        <f>F153+((F144-E144)*F$143)</f>
        <v>13708</v>
      </c>
      <c r="G154" s="117">
        <f>G$143</f>
        <v>0.24</v>
      </c>
      <c r="H154" s="95"/>
      <c r="I154" s="95"/>
      <c r="J154" s="93"/>
      <c r="K154" s="48"/>
      <c r="L154" s="48"/>
      <c r="M154" s="67"/>
      <c r="N154" s="20"/>
    </row>
    <row r="155" spans="1:14" x14ac:dyDescent="0.3">
      <c r="A155" s="1"/>
      <c r="B155" s="84"/>
      <c r="D155" s="116">
        <f t="shared" si="4"/>
        <v>170051</v>
      </c>
      <c r="E155" s="95">
        <f>H144</f>
        <v>215950</v>
      </c>
      <c r="F155" s="95">
        <f>F154+((G144-F144)*G$143)</f>
        <v>33148</v>
      </c>
      <c r="G155" s="117">
        <f>H$143</f>
        <v>0.32</v>
      </c>
      <c r="H155" s="95"/>
      <c r="I155" s="95"/>
      <c r="J155" s="93"/>
      <c r="K155" s="48"/>
      <c r="L155" s="48"/>
      <c r="M155" s="67"/>
      <c r="N155" s="20"/>
    </row>
    <row r="156" spans="1:14" x14ac:dyDescent="0.3">
      <c r="A156" s="1"/>
      <c r="B156" s="84"/>
      <c r="D156" s="116">
        <f t="shared" si="4"/>
        <v>215951</v>
      </c>
      <c r="E156" s="95">
        <f>I144</f>
        <v>539900</v>
      </c>
      <c r="F156" s="95">
        <f>F155+((H144-G144)*H$143)</f>
        <v>47836</v>
      </c>
      <c r="G156" s="117">
        <f>I$143</f>
        <v>0.35</v>
      </c>
      <c r="H156" s="95"/>
      <c r="I156" s="95"/>
      <c r="J156" s="93"/>
      <c r="K156" s="48"/>
      <c r="L156" s="48"/>
      <c r="M156" s="67"/>
      <c r="N156" s="20"/>
    </row>
    <row r="157" spans="1:14" x14ac:dyDescent="0.3">
      <c r="A157" s="1"/>
      <c r="B157" s="84"/>
      <c r="C157" s="110"/>
      <c r="D157" s="118">
        <f t="shared" si="4"/>
        <v>539901</v>
      </c>
      <c r="E157" s="104"/>
      <c r="F157" s="119">
        <f>F156+((I144-H144)*I$143)</f>
        <v>161218.5</v>
      </c>
      <c r="G157" s="120">
        <f>J$143</f>
        <v>0.37</v>
      </c>
      <c r="H157" s="95"/>
      <c r="I157" s="95"/>
      <c r="J157" s="93"/>
      <c r="K157" s="48"/>
      <c r="L157" s="48"/>
      <c r="M157" s="67"/>
      <c r="N157" s="20"/>
    </row>
    <row r="158" spans="1:14" x14ac:dyDescent="0.3">
      <c r="A158" s="1"/>
      <c r="B158" s="84"/>
      <c r="C158" s="94"/>
      <c r="D158" s="95"/>
      <c r="E158" s="95"/>
      <c r="F158" s="95"/>
      <c r="G158" s="95"/>
      <c r="H158" s="95"/>
      <c r="I158" s="95"/>
      <c r="J158" s="93"/>
      <c r="K158" s="48"/>
      <c r="L158" s="48"/>
      <c r="M158" s="67"/>
      <c r="N158" s="20"/>
    </row>
    <row r="159" spans="1:14" x14ac:dyDescent="0.3">
      <c r="A159" s="1"/>
      <c r="B159" s="84"/>
      <c r="C159" s="94"/>
      <c r="D159" s="111" t="s">
        <v>64</v>
      </c>
      <c r="E159" s="112"/>
      <c r="F159" s="112"/>
      <c r="G159" s="113"/>
      <c r="H159" s="95"/>
      <c r="I159" s="95"/>
      <c r="J159" s="93"/>
      <c r="K159" s="48"/>
      <c r="L159" s="48"/>
      <c r="M159" s="67"/>
      <c r="N159" s="20"/>
    </row>
    <row r="160" spans="1:14" x14ac:dyDescent="0.3">
      <c r="A160" s="1"/>
      <c r="B160" s="84"/>
      <c r="C160" s="94"/>
      <c r="D160" s="114" t="s">
        <v>103</v>
      </c>
      <c r="E160" s="46" t="s">
        <v>104</v>
      </c>
      <c r="F160" s="46" t="s">
        <v>105</v>
      </c>
      <c r="G160" s="115" t="s">
        <v>106</v>
      </c>
      <c r="H160" s="95"/>
      <c r="I160" s="95"/>
      <c r="J160" s="93"/>
      <c r="K160" s="48"/>
      <c r="L160" s="48"/>
      <c r="M160" s="67"/>
      <c r="N160" s="20"/>
    </row>
    <row r="161" spans="1:14" x14ac:dyDescent="0.3">
      <c r="A161" s="1"/>
      <c r="B161" s="84"/>
      <c r="C161" s="94"/>
      <c r="D161" s="116">
        <v>0</v>
      </c>
      <c r="E161" s="95">
        <f>D145</f>
        <v>20550</v>
      </c>
      <c r="G161" s="117">
        <f>D$143</f>
        <v>0.1</v>
      </c>
      <c r="H161" s="95"/>
      <c r="I161" s="95"/>
      <c r="J161" s="93"/>
      <c r="K161" s="48"/>
      <c r="L161" s="48"/>
      <c r="M161" s="67"/>
      <c r="N161" s="20"/>
    </row>
    <row r="162" spans="1:14" x14ac:dyDescent="0.3">
      <c r="A162" s="1"/>
      <c r="B162" s="84"/>
      <c r="C162" s="94"/>
      <c r="D162" s="116">
        <f t="shared" ref="D162:D167" si="5">E161+1</f>
        <v>20551</v>
      </c>
      <c r="E162" s="95">
        <f>E145</f>
        <v>83550</v>
      </c>
      <c r="F162" s="95">
        <f>D145*D$143</f>
        <v>2055</v>
      </c>
      <c r="G162" s="117">
        <f>E$143</f>
        <v>0.12</v>
      </c>
      <c r="H162" s="95"/>
      <c r="I162" s="95"/>
      <c r="J162" s="93"/>
      <c r="K162" s="48"/>
      <c r="L162" s="48"/>
      <c r="M162" s="67"/>
      <c r="N162" s="20"/>
    </row>
    <row r="163" spans="1:14" x14ac:dyDescent="0.3">
      <c r="A163" s="1"/>
      <c r="B163" s="84"/>
      <c r="C163" s="94"/>
      <c r="D163" s="116">
        <f t="shared" si="5"/>
        <v>83551</v>
      </c>
      <c r="E163" s="95">
        <f>F145</f>
        <v>178150</v>
      </c>
      <c r="F163" s="95">
        <f>F162+((E145-D145)*E$143)</f>
        <v>9615</v>
      </c>
      <c r="G163" s="117">
        <f>F$143</f>
        <v>0.22</v>
      </c>
      <c r="H163" s="95"/>
      <c r="I163" s="95"/>
      <c r="J163" s="93"/>
      <c r="K163" s="48"/>
      <c r="L163" s="48"/>
      <c r="M163" s="67"/>
      <c r="N163" s="20"/>
    </row>
    <row r="164" spans="1:14" x14ac:dyDescent="0.3">
      <c r="A164" s="1"/>
      <c r="B164" s="84"/>
      <c r="C164" s="94"/>
      <c r="D164" s="116">
        <f t="shared" si="5"/>
        <v>178151</v>
      </c>
      <c r="E164" s="95">
        <f>G145</f>
        <v>340100</v>
      </c>
      <c r="F164" s="95">
        <f>F163+((F145-E145)*F$143)</f>
        <v>30427</v>
      </c>
      <c r="G164" s="117">
        <f>G$143</f>
        <v>0.24</v>
      </c>
      <c r="H164" s="95"/>
      <c r="I164" s="95"/>
      <c r="J164" s="93"/>
      <c r="K164" s="48"/>
      <c r="L164" s="48"/>
      <c r="M164" s="67"/>
      <c r="N164" s="20"/>
    </row>
    <row r="165" spans="1:14" x14ac:dyDescent="0.3">
      <c r="A165" s="1"/>
      <c r="B165" s="84"/>
      <c r="C165" s="94"/>
      <c r="D165" s="116">
        <f t="shared" si="5"/>
        <v>340101</v>
      </c>
      <c r="E165" s="95">
        <f>H145</f>
        <v>431900</v>
      </c>
      <c r="F165" s="95">
        <f>F164+((G145-F145)*G$143)</f>
        <v>69295</v>
      </c>
      <c r="G165" s="117">
        <f>H$143</f>
        <v>0.32</v>
      </c>
      <c r="H165" s="95"/>
      <c r="I165" s="95"/>
      <c r="J165" s="93"/>
      <c r="K165" s="48"/>
      <c r="L165" s="48"/>
      <c r="M165" s="67"/>
      <c r="N165" s="20"/>
    </row>
    <row r="166" spans="1:14" x14ac:dyDescent="0.3">
      <c r="A166" s="1"/>
      <c r="B166" s="84"/>
      <c r="C166" s="94"/>
      <c r="D166" s="116">
        <f t="shared" si="5"/>
        <v>431901</v>
      </c>
      <c r="E166" s="95">
        <f>I145</f>
        <v>647850</v>
      </c>
      <c r="F166" s="95">
        <f>F165+((H145-G145)*H$143)</f>
        <v>98671</v>
      </c>
      <c r="G166" s="117">
        <f>I$143</f>
        <v>0.35</v>
      </c>
      <c r="H166" s="95"/>
      <c r="I166" s="95"/>
      <c r="J166" s="93"/>
      <c r="K166" s="48"/>
      <c r="L166" s="48"/>
      <c r="M166" s="67"/>
      <c r="N166" s="20"/>
    </row>
    <row r="167" spans="1:14" x14ac:dyDescent="0.3">
      <c r="A167" s="1"/>
      <c r="B167" s="84"/>
      <c r="C167" s="94"/>
      <c r="D167" s="118">
        <f t="shared" si="5"/>
        <v>647851</v>
      </c>
      <c r="E167" s="104"/>
      <c r="F167" s="119">
        <f>F166+((I145-H145)*I$143)</f>
        <v>174253.5</v>
      </c>
      <c r="G167" s="120">
        <f>J$143</f>
        <v>0.37</v>
      </c>
      <c r="H167" s="95"/>
      <c r="I167" s="95"/>
      <c r="J167" s="93"/>
      <c r="K167" s="48"/>
      <c r="L167" s="48"/>
      <c r="M167" s="67"/>
      <c r="N167" s="20"/>
    </row>
    <row r="168" spans="1:14" x14ac:dyDescent="0.3">
      <c r="A168" s="1"/>
      <c r="B168" s="84"/>
      <c r="C168" s="94"/>
      <c r="D168" s="95"/>
      <c r="E168" s="95"/>
      <c r="F168" s="95"/>
      <c r="G168" s="95"/>
      <c r="H168" s="95"/>
      <c r="I168" s="95"/>
      <c r="J168" s="93"/>
      <c r="K168" s="48"/>
      <c r="L168" s="48"/>
      <c r="M168" s="67"/>
      <c r="N168" s="20"/>
    </row>
    <row r="169" spans="1:14" x14ac:dyDescent="0.3">
      <c r="A169" s="1"/>
      <c r="B169" s="84"/>
      <c r="C169" s="94"/>
      <c r="D169" s="111" t="s">
        <v>66</v>
      </c>
      <c r="E169" s="112"/>
      <c r="F169" s="112"/>
      <c r="G169" s="113"/>
      <c r="H169" s="95"/>
      <c r="I169" s="95"/>
      <c r="J169" s="93"/>
      <c r="K169" s="48"/>
      <c r="L169" s="48"/>
      <c r="M169" s="67"/>
      <c r="N169" s="20"/>
    </row>
    <row r="170" spans="1:14" x14ac:dyDescent="0.3">
      <c r="A170" s="1"/>
      <c r="B170" s="84"/>
      <c r="C170" s="94"/>
      <c r="D170" s="114" t="s">
        <v>103</v>
      </c>
      <c r="E170" s="46" t="s">
        <v>104</v>
      </c>
      <c r="F170" s="46" t="s">
        <v>105</v>
      </c>
      <c r="G170" s="115" t="s">
        <v>106</v>
      </c>
      <c r="H170" s="95"/>
      <c r="I170" s="95"/>
      <c r="J170" s="93"/>
      <c r="K170" s="48"/>
      <c r="L170" s="48"/>
      <c r="M170" s="67"/>
      <c r="N170" s="20"/>
    </row>
    <row r="171" spans="1:14" x14ac:dyDescent="0.3">
      <c r="A171" s="1"/>
      <c r="B171" s="84"/>
      <c r="C171" s="94"/>
      <c r="D171" s="116">
        <v>0</v>
      </c>
      <c r="E171" s="95">
        <f>D146</f>
        <v>10275</v>
      </c>
      <c r="G171" s="117">
        <f>D$143</f>
        <v>0.1</v>
      </c>
      <c r="H171" s="95"/>
      <c r="I171" s="95"/>
      <c r="J171" s="93"/>
      <c r="K171" s="48"/>
      <c r="L171" s="48"/>
      <c r="M171" s="67"/>
      <c r="N171" s="20"/>
    </row>
    <row r="172" spans="1:14" x14ac:dyDescent="0.3">
      <c r="A172" s="1"/>
      <c r="B172" s="84"/>
      <c r="C172" s="94"/>
      <c r="D172" s="116">
        <f t="shared" ref="D172:D177" si="6">E171+1</f>
        <v>10276</v>
      </c>
      <c r="E172" s="95">
        <f>E146</f>
        <v>41775</v>
      </c>
      <c r="F172" s="95">
        <f>D146*D$143</f>
        <v>1027.5</v>
      </c>
      <c r="G172" s="117">
        <f>E$143</f>
        <v>0.12</v>
      </c>
      <c r="H172" s="95"/>
      <c r="I172" s="95"/>
      <c r="J172" s="93"/>
      <c r="K172" s="48"/>
      <c r="L172" s="48"/>
      <c r="M172" s="67"/>
      <c r="N172" s="20"/>
    </row>
    <row r="173" spans="1:14" x14ac:dyDescent="0.3">
      <c r="A173" s="1"/>
      <c r="B173" s="84"/>
      <c r="C173" s="94"/>
      <c r="D173" s="116">
        <f t="shared" si="6"/>
        <v>41776</v>
      </c>
      <c r="E173" s="95">
        <f>F146</f>
        <v>89075</v>
      </c>
      <c r="F173" s="95">
        <f>F172+((E146-D146)*E$143)</f>
        <v>4807.5</v>
      </c>
      <c r="G173" s="117">
        <f>F$143</f>
        <v>0.22</v>
      </c>
      <c r="H173" s="95"/>
      <c r="I173" s="95"/>
      <c r="J173" s="93"/>
      <c r="K173" s="48"/>
      <c r="L173" s="48"/>
      <c r="M173" s="67"/>
      <c r="N173" s="20"/>
    </row>
    <row r="174" spans="1:14" x14ac:dyDescent="0.3">
      <c r="A174" s="1"/>
      <c r="B174" s="84"/>
      <c r="C174" s="94"/>
      <c r="D174" s="116">
        <f t="shared" si="6"/>
        <v>89076</v>
      </c>
      <c r="E174" s="95">
        <f>G146</f>
        <v>170050</v>
      </c>
      <c r="F174" s="95">
        <f>F173+((F146-E146)*F$143)</f>
        <v>15213.5</v>
      </c>
      <c r="G174" s="117">
        <f>G$143</f>
        <v>0.24</v>
      </c>
      <c r="H174" s="95"/>
      <c r="I174" s="95"/>
      <c r="J174" s="93"/>
      <c r="K174" s="48"/>
      <c r="L174" s="48"/>
      <c r="M174" s="67"/>
      <c r="N174" s="20"/>
    </row>
    <row r="175" spans="1:14" x14ac:dyDescent="0.3">
      <c r="A175" s="1"/>
      <c r="B175" s="84"/>
      <c r="C175" s="94"/>
      <c r="D175" s="116">
        <f t="shared" si="6"/>
        <v>170051</v>
      </c>
      <c r="E175" s="95">
        <f>H146</f>
        <v>215950</v>
      </c>
      <c r="F175" s="95">
        <f>F174+((G146-F146)*G$143)</f>
        <v>34647.5</v>
      </c>
      <c r="G175" s="117">
        <f>H$143</f>
        <v>0.32</v>
      </c>
      <c r="H175" s="95"/>
      <c r="I175" s="95"/>
      <c r="J175" s="93"/>
      <c r="K175" s="48"/>
      <c r="L175" s="48"/>
      <c r="M175" s="67"/>
      <c r="N175" s="20"/>
    </row>
    <row r="176" spans="1:14" x14ac:dyDescent="0.3">
      <c r="A176" s="1"/>
      <c r="B176" s="84"/>
      <c r="C176" s="94"/>
      <c r="D176" s="116">
        <f t="shared" si="6"/>
        <v>215951</v>
      </c>
      <c r="E176" s="95">
        <f>I146</f>
        <v>323925</v>
      </c>
      <c r="F176" s="95">
        <f>F175+((H146-G146)*H$143)</f>
        <v>49335.5</v>
      </c>
      <c r="G176" s="117">
        <f>I$143</f>
        <v>0.35</v>
      </c>
      <c r="H176" s="95"/>
      <c r="I176" s="95"/>
      <c r="J176" s="93"/>
      <c r="K176" s="48"/>
      <c r="L176" s="48"/>
      <c r="M176" s="67"/>
      <c r="N176" s="20"/>
    </row>
    <row r="177" spans="1:15" x14ac:dyDescent="0.3">
      <c r="A177" s="1"/>
      <c r="B177" s="84"/>
      <c r="C177" s="94"/>
      <c r="D177" s="118">
        <f t="shared" si="6"/>
        <v>323926</v>
      </c>
      <c r="E177" s="104"/>
      <c r="F177" s="119">
        <f>F176+((I146-H146)*I$143)</f>
        <v>87126.75</v>
      </c>
      <c r="G177" s="120">
        <f>J$143</f>
        <v>0.37</v>
      </c>
      <c r="H177" s="95"/>
      <c r="I177" s="95"/>
      <c r="J177" s="93"/>
      <c r="K177" s="48"/>
      <c r="L177" s="48"/>
      <c r="M177" s="67"/>
      <c r="N177" s="20"/>
    </row>
    <row r="178" spans="1:15" x14ac:dyDescent="0.3">
      <c r="A178" s="1"/>
      <c r="B178" s="84"/>
      <c r="C178" s="94"/>
      <c r="D178" s="95"/>
      <c r="E178" s="95"/>
      <c r="F178" s="95"/>
      <c r="G178" s="95"/>
      <c r="H178" s="95"/>
      <c r="I178" s="95"/>
      <c r="J178" s="93"/>
      <c r="K178" s="48"/>
      <c r="L178" s="48"/>
      <c r="M178" s="67"/>
      <c r="N178" s="20"/>
    </row>
    <row r="179" spans="1:15" x14ac:dyDescent="0.3">
      <c r="A179" s="1"/>
      <c r="B179" s="84"/>
      <c r="C179" s="94"/>
      <c r="D179" s="111" t="s">
        <v>65</v>
      </c>
      <c r="E179" s="112"/>
      <c r="F179" s="112"/>
      <c r="G179" s="113"/>
      <c r="H179" s="95"/>
      <c r="I179" s="95"/>
      <c r="J179" s="93"/>
      <c r="K179" s="48"/>
      <c r="L179" s="48"/>
      <c r="M179" s="67"/>
      <c r="N179" s="20"/>
    </row>
    <row r="180" spans="1:15" x14ac:dyDescent="0.3">
      <c r="A180" s="1"/>
      <c r="B180" s="84"/>
      <c r="C180" s="94"/>
      <c r="D180" s="114" t="s">
        <v>103</v>
      </c>
      <c r="E180" s="46" t="s">
        <v>104</v>
      </c>
      <c r="F180" s="46" t="s">
        <v>105</v>
      </c>
      <c r="G180" s="115" t="s">
        <v>106</v>
      </c>
      <c r="H180" s="95"/>
      <c r="I180" s="95"/>
      <c r="J180" s="93"/>
      <c r="K180" s="48"/>
      <c r="L180" s="48"/>
      <c r="M180" s="67"/>
      <c r="N180" s="20"/>
    </row>
    <row r="181" spans="1:15" x14ac:dyDescent="0.3">
      <c r="A181" s="1"/>
      <c r="B181" s="84"/>
      <c r="C181" s="94"/>
      <c r="D181" s="116">
        <v>0</v>
      </c>
      <c r="E181" s="95">
        <f>D147</f>
        <v>10275</v>
      </c>
      <c r="G181" s="117">
        <f>D$143</f>
        <v>0.1</v>
      </c>
      <c r="H181" s="95"/>
      <c r="I181" s="95"/>
      <c r="J181" s="93"/>
      <c r="K181" s="48"/>
      <c r="L181" s="48"/>
      <c r="M181" s="67"/>
      <c r="N181" s="20"/>
    </row>
    <row r="182" spans="1:15" x14ac:dyDescent="0.3">
      <c r="A182" s="1"/>
      <c r="B182" s="84"/>
      <c r="C182" s="94"/>
      <c r="D182" s="116">
        <f t="shared" ref="D182:D187" si="7">E181+1</f>
        <v>10276</v>
      </c>
      <c r="E182" s="95">
        <f>E147</f>
        <v>41775</v>
      </c>
      <c r="F182" s="95">
        <f>D147*D$143</f>
        <v>1027.5</v>
      </c>
      <c r="G182" s="117">
        <f>E$143</f>
        <v>0.12</v>
      </c>
      <c r="H182" s="95"/>
      <c r="I182" s="95"/>
      <c r="J182" s="93"/>
      <c r="K182" s="48"/>
      <c r="L182" s="48"/>
      <c r="M182" s="67"/>
      <c r="N182" s="20"/>
    </row>
    <row r="183" spans="1:15" x14ac:dyDescent="0.3">
      <c r="A183" s="1"/>
      <c r="B183" s="84"/>
      <c r="C183" s="94"/>
      <c r="D183" s="116">
        <f t="shared" si="7"/>
        <v>41776</v>
      </c>
      <c r="E183" s="95">
        <f>F147</f>
        <v>89075</v>
      </c>
      <c r="F183" s="95">
        <f>F182+((E147-D147)*E$143)</f>
        <v>4807.5</v>
      </c>
      <c r="G183" s="117">
        <f>F$143</f>
        <v>0.22</v>
      </c>
      <c r="H183" s="95"/>
      <c r="I183" s="95"/>
      <c r="J183" s="93"/>
      <c r="K183" s="48"/>
      <c r="L183" s="48"/>
      <c r="M183" s="67"/>
      <c r="N183" s="20"/>
    </row>
    <row r="184" spans="1:15" x14ac:dyDescent="0.3">
      <c r="A184" s="1"/>
      <c r="B184" s="84"/>
      <c r="C184" s="94"/>
      <c r="D184" s="116">
        <f t="shared" si="7"/>
        <v>89076</v>
      </c>
      <c r="E184" s="95">
        <f>G147</f>
        <v>170050</v>
      </c>
      <c r="F184" s="95">
        <f>F183+((F147-E147)*F$143)</f>
        <v>15213.5</v>
      </c>
      <c r="G184" s="117">
        <f>G$143</f>
        <v>0.24</v>
      </c>
      <c r="H184" s="95"/>
      <c r="I184" s="95"/>
      <c r="J184" s="93"/>
      <c r="K184" s="48"/>
      <c r="L184" s="48"/>
      <c r="M184" s="67"/>
      <c r="N184" s="20"/>
    </row>
    <row r="185" spans="1:15" x14ac:dyDescent="0.3">
      <c r="A185" s="1"/>
      <c r="B185" s="84"/>
      <c r="C185" s="94"/>
      <c r="D185" s="116">
        <f t="shared" si="7"/>
        <v>170051</v>
      </c>
      <c r="E185" s="95">
        <f>H147</f>
        <v>215950</v>
      </c>
      <c r="F185" s="95">
        <f>F184+((G147-F147)*G$143)</f>
        <v>34647.5</v>
      </c>
      <c r="G185" s="117">
        <f>H$143</f>
        <v>0.32</v>
      </c>
      <c r="H185" s="95"/>
      <c r="I185" s="95"/>
      <c r="J185" s="93"/>
      <c r="K185" s="48"/>
      <c r="L185" s="48"/>
      <c r="M185" s="67"/>
      <c r="N185" s="20"/>
    </row>
    <row r="186" spans="1:15" x14ac:dyDescent="0.3">
      <c r="A186" s="1"/>
      <c r="B186" s="84"/>
      <c r="C186" s="94"/>
      <c r="D186" s="116">
        <f t="shared" si="7"/>
        <v>215951</v>
      </c>
      <c r="E186" s="95">
        <f>I147</f>
        <v>539900</v>
      </c>
      <c r="F186" s="95">
        <f>F185+((H147-G147)*H$143)</f>
        <v>49335.5</v>
      </c>
      <c r="G186" s="117">
        <f>I$143</f>
        <v>0.35</v>
      </c>
      <c r="H186" s="95"/>
      <c r="I186" s="95"/>
      <c r="J186" s="93"/>
      <c r="K186" s="48"/>
      <c r="L186" s="48"/>
      <c r="M186" s="67"/>
      <c r="N186" s="20"/>
    </row>
    <row r="187" spans="1:15" x14ac:dyDescent="0.3">
      <c r="A187" s="1"/>
      <c r="B187" s="84"/>
      <c r="C187" s="94"/>
      <c r="D187" s="118">
        <f t="shared" si="7"/>
        <v>539901</v>
      </c>
      <c r="E187" s="104"/>
      <c r="F187" s="119">
        <f>F186+((I147-H147)*I$143)</f>
        <v>162718</v>
      </c>
      <c r="G187" s="120">
        <f>J$143</f>
        <v>0.37</v>
      </c>
      <c r="H187" s="95"/>
      <c r="I187" s="95"/>
      <c r="J187" s="93"/>
      <c r="K187" s="48"/>
      <c r="L187" s="48"/>
      <c r="M187" s="67"/>
      <c r="N187" s="20"/>
    </row>
    <row r="188" spans="1:15" x14ac:dyDescent="0.3">
      <c r="A188" s="1"/>
      <c r="B188" s="96"/>
      <c r="C188" s="97"/>
      <c r="D188" s="119"/>
      <c r="E188" s="119"/>
      <c r="F188" s="119"/>
      <c r="G188" s="119"/>
      <c r="H188" s="119"/>
      <c r="I188" s="119"/>
      <c r="J188" s="98"/>
      <c r="K188" s="104"/>
      <c r="L188" s="104"/>
      <c r="M188" s="68"/>
      <c r="N188" s="20"/>
    </row>
    <row r="189" spans="1:15" x14ac:dyDescent="0.3">
      <c r="A189" s="1"/>
      <c r="C189" s="75"/>
      <c r="D189" s="76"/>
      <c r="E189" s="77"/>
      <c r="F189" s="78"/>
      <c r="G189" s="78"/>
      <c r="H189" s="78"/>
      <c r="I189" s="78"/>
      <c r="N189" s="20"/>
    </row>
    <row r="190" spans="1:15" x14ac:dyDescent="0.3">
      <c r="A190" s="1"/>
      <c r="C190" s="75"/>
      <c r="D190" s="76"/>
      <c r="E190" s="77"/>
      <c r="F190" s="78"/>
      <c r="G190" s="78"/>
      <c r="H190" s="78"/>
      <c r="I190" s="78"/>
      <c r="N190" s="20"/>
    </row>
    <row r="191" spans="1:15" x14ac:dyDescent="0.3">
      <c r="B191" s="79" t="s">
        <v>92</v>
      </c>
      <c r="C191" s="100"/>
      <c r="D191" s="100"/>
      <c r="E191" s="100"/>
      <c r="F191" s="100"/>
      <c r="G191" s="100"/>
      <c r="H191" s="100"/>
      <c r="I191" s="100"/>
      <c r="J191" s="100"/>
      <c r="K191" s="100"/>
      <c r="L191" s="100"/>
      <c r="M191" s="100"/>
      <c r="N191" s="100"/>
      <c r="O191" s="66"/>
    </row>
    <row r="192" spans="1:15" x14ac:dyDescent="0.3">
      <c r="B192" s="84"/>
      <c r="C192" s="48"/>
      <c r="D192" s="48"/>
      <c r="E192" s="48"/>
      <c r="F192" s="48"/>
      <c r="G192" s="48"/>
      <c r="H192" s="48"/>
      <c r="I192" s="48"/>
      <c r="J192" s="48"/>
      <c r="K192" s="48"/>
      <c r="L192" s="48"/>
      <c r="M192" s="48"/>
      <c r="N192" s="48"/>
      <c r="O192" s="67"/>
    </row>
    <row r="193" spans="2:15" x14ac:dyDescent="0.3">
      <c r="B193" s="84" t="s">
        <v>92</v>
      </c>
      <c r="C193" s="48"/>
      <c r="D193" s="48"/>
      <c r="E193" s="102" t="s">
        <v>93</v>
      </c>
      <c r="F193" s="48"/>
      <c r="G193" s="48"/>
      <c r="H193" s="48"/>
      <c r="I193" s="48"/>
      <c r="J193" s="48"/>
      <c r="K193" s="48"/>
      <c r="L193" s="48"/>
      <c r="M193" s="48"/>
      <c r="N193" s="48"/>
      <c r="O193" s="67"/>
    </row>
    <row r="194" spans="2:15" x14ac:dyDescent="0.3">
      <c r="B194" s="84" t="s">
        <v>170</v>
      </c>
      <c r="C194" s="48"/>
      <c r="D194" s="48"/>
      <c r="E194" s="102" t="s">
        <v>169</v>
      </c>
      <c r="F194" s="48"/>
      <c r="G194" s="48"/>
      <c r="H194" s="48"/>
      <c r="I194" s="48"/>
      <c r="J194" s="48"/>
      <c r="K194" s="48"/>
      <c r="L194" s="48"/>
      <c r="M194" s="48"/>
      <c r="N194" s="48"/>
      <c r="O194" s="67"/>
    </row>
    <row r="195" spans="2:15" x14ac:dyDescent="0.3">
      <c r="B195" s="84" t="s">
        <v>22</v>
      </c>
      <c r="C195" s="48"/>
      <c r="D195" s="48"/>
      <c r="E195" s="48"/>
      <c r="F195" s="48"/>
      <c r="G195" s="48"/>
      <c r="H195" s="48"/>
      <c r="I195" s="48"/>
      <c r="J195" s="48"/>
      <c r="K195" s="48"/>
      <c r="L195" s="48"/>
      <c r="M195" s="48"/>
      <c r="N195" s="48"/>
      <c r="O195" s="67"/>
    </row>
    <row r="196" spans="2:15" x14ac:dyDescent="0.3">
      <c r="B196" s="84" t="s">
        <v>21</v>
      </c>
      <c r="C196" s="48"/>
      <c r="D196" s="48"/>
      <c r="E196" s="48"/>
      <c r="F196" s="48"/>
      <c r="G196" s="48"/>
      <c r="H196" s="48"/>
      <c r="I196" s="48"/>
      <c r="J196" s="48"/>
      <c r="K196" s="48"/>
      <c r="L196" s="48"/>
      <c r="M196" s="48"/>
      <c r="N196" s="48"/>
      <c r="O196" s="67"/>
    </row>
    <row r="197" spans="2:15" x14ac:dyDescent="0.3">
      <c r="B197" s="84"/>
      <c r="C197" s="48"/>
      <c r="D197" s="338">
        <v>0.15</v>
      </c>
      <c r="E197" s="48" t="s">
        <v>91</v>
      </c>
      <c r="F197" s="48"/>
      <c r="G197" s="48"/>
      <c r="H197" s="48"/>
      <c r="I197" s="48"/>
      <c r="J197" s="48"/>
      <c r="K197" s="48"/>
      <c r="L197" s="48"/>
      <c r="M197" s="48"/>
      <c r="N197" s="48"/>
      <c r="O197" s="67"/>
    </row>
    <row r="198" spans="2:15" x14ac:dyDescent="0.3">
      <c r="B198" s="84"/>
      <c r="C198" s="48"/>
      <c r="D198" s="48" t="s">
        <v>62</v>
      </c>
      <c r="E198" s="48" t="s">
        <v>67</v>
      </c>
      <c r="F198" s="48" t="s">
        <v>68</v>
      </c>
      <c r="G198" s="48"/>
      <c r="H198" s="48"/>
      <c r="I198" s="48"/>
      <c r="J198" s="48"/>
      <c r="K198" s="48"/>
      <c r="L198" s="48"/>
      <c r="M198" s="48"/>
      <c r="N198" s="48"/>
      <c r="O198" s="67"/>
    </row>
    <row r="199" spans="2:15" x14ac:dyDescent="0.3">
      <c r="B199" s="84"/>
      <c r="C199" s="107" t="s">
        <v>89</v>
      </c>
      <c r="D199" s="309">
        <v>41676</v>
      </c>
      <c r="E199" s="309">
        <v>83351</v>
      </c>
      <c r="F199" s="309">
        <v>55801</v>
      </c>
      <c r="G199" s="48"/>
      <c r="H199" s="48"/>
      <c r="I199" s="48"/>
      <c r="J199" s="48"/>
      <c r="K199" s="48"/>
      <c r="L199" s="48"/>
      <c r="M199" s="48"/>
      <c r="N199" s="48"/>
      <c r="O199" s="67"/>
    </row>
    <row r="200" spans="2:15" x14ac:dyDescent="0.3">
      <c r="B200" s="84"/>
      <c r="C200" s="107" t="s">
        <v>88</v>
      </c>
      <c r="D200" s="62">
        <f>E133</f>
        <v>21150</v>
      </c>
      <c r="E200" s="62">
        <f>F134</f>
        <v>28700</v>
      </c>
      <c r="F200" s="62">
        <f>E135</f>
        <v>14700</v>
      </c>
      <c r="G200" s="48" t="s">
        <v>95</v>
      </c>
      <c r="H200" s="48"/>
      <c r="I200" s="48"/>
      <c r="J200" s="48"/>
      <c r="K200" s="48"/>
      <c r="L200" s="48"/>
      <c r="M200" s="48"/>
      <c r="N200" s="48"/>
      <c r="O200" s="67"/>
    </row>
    <row r="201" spans="2:15" x14ac:dyDescent="0.3">
      <c r="B201" s="84"/>
      <c r="C201" s="107" t="s">
        <v>90</v>
      </c>
      <c r="D201" s="16">
        <f>SUM(D199:D200)</f>
        <v>62826</v>
      </c>
      <c r="E201" s="16">
        <f>SUM(E199:E200)</f>
        <v>112051</v>
      </c>
      <c r="F201" s="16">
        <f>SUM(F199:F200)</f>
        <v>70501</v>
      </c>
      <c r="G201" s="48"/>
      <c r="H201" s="48"/>
      <c r="I201" s="48"/>
      <c r="J201" s="48"/>
      <c r="K201" s="48"/>
      <c r="L201" s="48"/>
      <c r="M201" s="48"/>
      <c r="N201" s="48"/>
      <c r="O201" s="67"/>
    </row>
    <row r="202" spans="2:15" x14ac:dyDescent="0.3">
      <c r="B202" s="84"/>
      <c r="C202" s="107"/>
      <c r="D202" s="61"/>
      <c r="E202" s="61"/>
      <c r="F202" s="61"/>
      <c r="G202" s="48"/>
      <c r="H202" s="48"/>
      <c r="I202" s="48"/>
      <c r="J202" s="48"/>
      <c r="K202" s="48"/>
      <c r="L202" s="48"/>
      <c r="M202" s="48"/>
      <c r="N202" s="48"/>
      <c r="O202" s="67"/>
    </row>
    <row r="203" spans="2:15" x14ac:dyDescent="0.3">
      <c r="B203" s="84"/>
      <c r="C203" s="48"/>
      <c r="D203" s="338">
        <v>0.2</v>
      </c>
      <c r="E203" s="48" t="s">
        <v>91</v>
      </c>
      <c r="F203" s="48"/>
      <c r="G203" s="48"/>
      <c r="H203" s="48"/>
      <c r="I203" s="48"/>
      <c r="J203" s="48"/>
      <c r="K203" s="48"/>
      <c r="L203" s="48"/>
      <c r="M203" s="48"/>
      <c r="N203" s="48"/>
      <c r="O203" s="67"/>
    </row>
    <row r="204" spans="2:15" x14ac:dyDescent="0.3">
      <c r="B204" s="84"/>
      <c r="C204" s="48"/>
      <c r="D204" s="48" t="s">
        <v>62</v>
      </c>
      <c r="E204" s="48" t="s">
        <v>67</v>
      </c>
      <c r="F204" s="48" t="s">
        <v>68</v>
      </c>
      <c r="G204" s="48" t="s">
        <v>94</v>
      </c>
      <c r="H204" s="48"/>
      <c r="I204" s="48"/>
      <c r="J204" s="48"/>
      <c r="K204" s="48"/>
      <c r="L204" s="48"/>
      <c r="M204" s="48"/>
      <c r="N204" s="48"/>
      <c r="O204" s="67"/>
    </row>
    <row r="205" spans="2:15" x14ac:dyDescent="0.3">
      <c r="B205" s="84"/>
      <c r="C205" s="107" t="s">
        <v>89</v>
      </c>
      <c r="D205" s="309">
        <v>459750</v>
      </c>
      <c r="E205" s="309">
        <v>517200</v>
      </c>
      <c r="F205" s="309">
        <v>488500</v>
      </c>
      <c r="G205" s="309">
        <v>258600</v>
      </c>
      <c r="H205" s="48"/>
      <c r="I205" s="48"/>
      <c r="J205" s="48"/>
      <c r="K205" s="48"/>
      <c r="L205" s="48"/>
      <c r="M205" s="48"/>
      <c r="N205" s="48"/>
      <c r="O205" s="67"/>
    </row>
    <row r="206" spans="2:15" x14ac:dyDescent="0.3">
      <c r="B206" s="84"/>
      <c r="C206" s="107" t="s">
        <v>88</v>
      </c>
      <c r="D206" s="62">
        <f>D200</f>
        <v>21150</v>
      </c>
      <c r="E206" s="62">
        <f t="shared" ref="E206:F206" si="8">E200</f>
        <v>28700</v>
      </c>
      <c r="F206" s="62">
        <f t="shared" si="8"/>
        <v>14700</v>
      </c>
      <c r="G206" s="62">
        <f>D200</f>
        <v>21150</v>
      </c>
      <c r="H206" s="48"/>
      <c r="I206" s="48"/>
      <c r="J206" s="48"/>
      <c r="K206" s="48"/>
      <c r="L206" s="48"/>
      <c r="M206" s="48"/>
      <c r="N206" s="48"/>
      <c r="O206" s="67"/>
    </row>
    <row r="207" spans="2:15" x14ac:dyDescent="0.3">
      <c r="B207" s="84"/>
      <c r="C207" s="107" t="s">
        <v>90</v>
      </c>
      <c r="D207" s="16">
        <f>SUM(D205:D206)</f>
        <v>480900</v>
      </c>
      <c r="E207" s="16">
        <f>SUM(E205:E206)</f>
        <v>545900</v>
      </c>
      <c r="F207" s="16">
        <f>SUM(F205:F206)</f>
        <v>503200</v>
      </c>
      <c r="G207" s="16">
        <f>SUM(G205:G206)</f>
        <v>279750</v>
      </c>
      <c r="H207" s="48"/>
      <c r="I207" s="48"/>
      <c r="J207" s="48"/>
      <c r="K207" s="48"/>
      <c r="L207" s="48"/>
      <c r="M207" s="48"/>
      <c r="N207" s="48"/>
      <c r="O207" s="67"/>
    </row>
    <row r="208" spans="2:15" x14ac:dyDescent="0.3">
      <c r="B208" s="84"/>
      <c r="C208" s="107"/>
      <c r="D208" s="61"/>
      <c r="E208" s="48"/>
      <c r="F208" s="48"/>
      <c r="G208" s="48"/>
      <c r="H208" s="48"/>
      <c r="I208" s="48"/>
      <c r="J208" s="48"/>
      <c r="K208" s="48"/>
      <c r="L208" s="48"/>
      <c r="M208" s="48"/>
      <c r="N208" s="48"/>
      <c r="O208" s="67"/>
    </row>
    <row r="209" spans="1:15" x14ac:dyDescent="0.3">
      <c r="B209" s="84"/>
      <c r="C209" s="107"/>
      <c r="D209" s="63">
        <v>0.15</v>
      </c>
      <c r="E209" s="63">
        <v>0.2</v>
      </c>
      <c r="F209" s="48"/>
      <c r="G209" s="48"/>
      <c r="H209" s="48"/>
      <c r="I209" s="48"/>
      <c r="J209" s="48"/>
      <c r="K209" s="48"/>
      <c r="L209" s="48"/>
      <c r="M209" s="48"/>
      <c r="N209" s="48"/>
      <c r="O209" s="67"/>
    </row>
    <row r="210" spans="1:15" x14ac:dyDescent="0.3">
      <c r="B210" s="84"/>
      <c r="C210" s="57" t="str">
        <f>D$111</f>
        <v>Head of household</v>
      </c>
      <c r="D210" s="61">
        <f>F201</f>
        <v>70501</v>
      </c>
      <c r="E210" s="61">
        <f>F207</f>
        <v>503200</v>
      </c>
      <c r="H210" s="48"/>
      <c r="I210" s="48"/>
      <c r="J210" s="48"/>
      <c r="K210" s="48"/>
      <c r="L210" s="48"/>
      <c r="M210" s="48"/>
      <c r="N210" s="48"/>
      <c r="O210" s="67"/>
    </row>
    <row r="211" spans="1:15" x14ac:dyDescent="0.3">
      <c r="B211" s="84"/>
      <c r="C211" s="57" t="str">
        <f>D$110</f>
        <v>Married filing jointly</v>
      </c>
      <c r="D211" s="61">
        <f>E201</f>
        <v>112051</v>
      </c>
      <c r="E211" s="61">
        <f>E207</f>
        <v>545900</v>
      </c>
      <c r="H211" s="48"/>
      <c r="I211" s="48"/>
      <c r="J211" s="48"/>
      <c r="K211" s="48"/>
      <c r="L211" s="48"/>
      <c r="M211" s="48"/>
      <c r="N211" s="48"/>
      <c r="O211" s="67"/>
    </row>
    <row r="212" spans="1:15" x14ac:dyDescent="0.3">
      <c r="B212" s="84"/>
      <c r="C212" s="57" t="str">
        <f>D$112</f>
        <v>Married filing separately</v>
      </c>
      <c r="D212" s="61">
        <f>D201</f>
        <v>62826</v>
      </c>
      <c r="E212" s="61">
        <f>G207</f>
        <v>279750</v>
      </c>
      <c r="H212" s="48"/>
      <c r="I212" s="48"/>
      <c r="J212" s="48"/>
      <c r="K212" s="48"/>
      <c r="L212" s="48"/>
      <c r="M212" s="48"/>
      <c r="N212" s="48"/>
      <c r="O212" s="67"/>
    </row>
    <row r="213" spans="1:15" x14ac:dyDescent="0.3">
      <c r="B213" s="84"/>
      <c r="C213" s="57" t="str">
        <f>D$109</f>
        <v>Single</v>
      </c>
      <c r="D213" s="61">
        <f>D201</f>
        <v>62826</v>
      </c>
      <c r="E213" s="61">
        <f>D207</f>
        <v>480900</v>
      </c>
      <c r="H213" s="48"/>
      <c r="I213" s="48"/>
      <c r="J213" s="48"/>
      <c r="K213" s="48"/>
      <c r="L213" s="48"/>
      <c r="M213" s="48"/>
      <c r="N213" s="48"/>
      <c r="O213" s="67"/>
    </row>
    <row r="214" spans="1:15" x14ac:dyDescent="0.3">
      <c r="B214" s="96"/>
      <c r="C214" s="108"/>
      <c r="D214" s="109"/>
      <c r="E214" s="104"/>
      <c r="F214" s="104"/>
      <c r="G214" s="104"/>
      <c r="H214" s="104"/>
      <c r="I214" s="104"/>
      <c r="J214" s="104"/>
      <c r="K214" s="104"/>
      <c r="L214" s="104"/>
      <c r="M214" s="104"/>
      <c r="N214" s="104"/>
      <c r="O214" s="68"/>
    </row>
    <row r="215" spans="1:15" x14ac:dyDescent="0.3">
      <c r="C215" s="17"/>
      <c r="D215" s="61"/>
    </row>
    <row r="216" spans="1:15" x14ac:dyDescent="0.3">
      <c r="C216" s="17"/>
      <c r="D216" s="61"/>
    </row>
    <row r="218" spans="1:15" x14ac:dyDescent="0.3">
      <c r="A218" s="45" t="s">
        <v>20</v>
      </c>
      <c r="D218" s="19" t="s">
        <v>14</v>
      </c>
      <c r="F218" s="7"/>
    </row>
    <row r="219" spans="1:15" x14ac:dyDescent="0.3">
      <c r="B219" t="s">
        <v>15</v>
      </c>
      <c r="F219" s="7"/>
    </row>
    <row r="221" spans="1:15" x14ac:dyDescent="0.3">
      <c r="F221" s="7"/>
    </row>
    <row r="222" spans="1:15" x14ac:dyDescent="0.3">
      <c r="A222" s="21" t="s">
        <v>156</v>
      </c>
      <c r="F222" s="7"/>
    </row>
    <row r="223" spans="1:15" x14ac:dyDescent="0.3">
      <c r="C223" s="328" t="s">
        <v>167</v>
      </c>
      <c r="D223" s="328"/>
      <c r="F223" s="7"/>
    </row>
    <row r="224" spans="1:15" x14ac:dyDescent="0.3">
      <c r="C224" s="328" t="s">
        <v>184</v>
      </c>
      <c r="D224" s="328"/>
      <c r="F224" s="7"/>
    </row>
    <row r="225" spans="3:4" x14ac:dyDescent="0.3">
      <c r="C225" s="328" t="s">
        <v>155</v>
      </c>
      <c r="D225" s="328"/>
    </row>
    <row r="226" spans="3:4" x14ac:dyDescent="0.3">
      <c r="C226" s="328"/>
      <c r="D226" s="328"/>
    </row>
    <row r="227" spans="3:4" x14ac:dyDescent="0.3">
      <c r="C227" s="328"/>
      <c r="D227" s="328"/>
    </row>
    <row r="228" spans="3:4" x14ac:dyDescent="0.3">
      <c r="C228" s="328"/>
      <c r="D228" s="328"/>
    </row>
    <row r="229" spans="3:4" x14ac:dyDescent="0.3">
      <c r="C229" s="328"/>
      <c r="D229" s="328"/>
    </row>
    <row r="230" spans="3:4" x14ac:dyDescent="0.3">
      <c r="C230" s="328"/>
      <c r="D230" s="328"/>
    </row>
    <row r="231" spans="3:4" x14ac:dyDescent="0.3">
      <c r="C231" s="328"/>
      <c r="D231" s="328"/>
    </row>
    <row r="232" spans="3:4" x14ac:dyDescent="0.3">
      <c r="C232" s="328"/>
      <c r="D232" s="328"/>
    </row>
  </sheetData>
  <sheetProtection sheet="1" objects="1" scenarios="1"/>
  <phoneticPr fontId="10" type="noConversion"/>
  <hyperlinks>
    <hyperlink ref="B32" r:id="rId1" xr:uid="{50C860EA-A5A6-4502-B648-44F8A90790C9}"/>
    <hyperlink ref="E13" r:id="rId2" display="Add up the Percent Change Dec - Dec" xr:uid="{E5168EE5-5AB5-404C-9AD0-5ECA4921C91F}"/>
    <hyperlink ref="D218" r:id="rId3" xr:uid="{92D23098-336E-4BE5-80FB-9E4BA8331906}"/>
    <hyperlink ref="E22" r:id="rId4" display="Use the annual average column (third from right)" xr:uid="{FE47DDDD-C970-459A-926C-2ACBF99E984F}"/>
    <hyperlink ref="D76" r:id="rId5" xr:uid="{21EBA910-F43B-4DF0-8B53-EF0210891C42}"/>
    <hyperlink ref="D116" r:id="rId6" xr:uid="{69963AF4-7034-4548-9BE2-C66C04B9CA71}"/>
    <hyperlink ref="E126" r:id="rId7" xr:uid="{67784901-049F-483F-A21C-44CCAD3346C2}"/>
    <hyperlink ref="D139" r:id="rId8" xr:uid="{004F329A-FEDE-4BC9-8FC9-983E6C4099D9}"/>
    <hyperlink ref="E193" r:id="rId9" xr:uid="{E9A82D2F-EEF2-4DC2-ABD6-DC7AB43B0241}"/>
    <hyperlink ref="D140" r:id="rId10" xr:uid="{4935724F-EDEF-40F3-9C3E-6E10629D9199}"/>
    <hyperlink ref="D88" r:id="rId11" xr:uid="{3333A843-F214-4B4E-A3DE-95D02D5033E7}"/>
    <hyperlink ref="D80" r:id="rId12" xr:uid="{A5577E1E-2FA7-486C-A710-9EEC5032D0EB}"/>
    <hyperlink ref="D84" r:id="rId13" xr:uid="{2FB932F7-2F3B-43C7-A46C-E0AAA42C899D}"/>
    <hyperlink ref="G34" r:id="rId14" xr:uid="{D303F59B-38DE-463D-9505-F6D15112388A}"/>
    <hyperlink ref="D72" r:id="rId15" xr:uid="{F9F12775-4735-4C9A-B17B-5B01CE90CC22}"/>
  </hyperlinks>
  <pageMargins left="0.7" right="0.7" top="0.75" bottom="0.75" header="0.3" footer="0.3"/>
  <pageSetup orientation="portrait"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E6ABB-FF01-48E3-9265-5E9C1619E12A}">
  <dimension ref="M2:M3"/>
  <sheetViews>
    <sheetView workbookViewId="0"/>
  </sheetViews>
  <sheetFormatPr defaultRowHeight="14.4" x14ac:dyDescent="0.3"/>
  <sheetData>
    <row r="2" spans="13:13" x14ac:dyDescent="0.3">
      <c r="M2" t="s">
        <v>229</v>
      </c>
    </row>
    <row r="3" spans="13:13" x14ac:dyDescent="0.3">
      <c r="M3" s="20" t="s">
        <v>230</v>
      </c>
    </row>
  </sheetData>
  <sheetProtection sheet="1" objects="1" scenarios="1"/>
  <hyperlinks>
    <hyperlink ref="M3" r:id="rId1" xr:uid="{1E6E78AA-D93E-41C5-8E9A-7C2EDD351BF8}"/>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FCFA1-544A-449A-8E06-A2B7D9EB4C1A}">
  <sheetPr codeName="Sheet5"/>
  <dimension ref="A1:M192"/>
  <sheetViews>
    <sheetView workbookViewId="0">
      <pane ySplit="3" topLeftCell="A19" activePane="bottomLeft" state="frozen"/>
      <selection pane="bottomLeft" activeCell="F1" sqref="F1"/>
    </sheetView>
  </sheetViews>
  <sheetFormatPr defaultRowHeight="14.4" x14ac:dyDescent="0.3"/>
  <cols>
    <col min="1" max="1" width="11.77734375" customWidth="1"/>
    <col min="2" max="2" width="3.33203125" customWidth="1"/>
    <col min="3" max="11" width="11.77734375" customWidth="1"/>
    <col min="12" max="12" width="14.88671875" bestFit="1" customWidth="1"/>
    <col min="13" max="13" width="11.77734375" customWidth="1"/>
    <col min="14" max="14" width="11.21875" bestFit="1" customWidth="1"/>
    <col min="15" max="15" width="12.44140625" bestFit="1" customWidth="1"/>
    <col min="16" max="16" width="8.44140625" bestFit="1" customWidth="1"/>
    <col min="20" max="20" width="12.5546875" customWidth="1"/>
    <col min="21" max="22" width="9.88671875" bestFit="1" customWidth="1"/>
    <col min="23" max="23" width="15.6640625" customWidth="1"/>
    <col min="24" max="24" width="12.21875" customWidth="1"/>
  </cols>
  <sheetData>
    <row r="1" spans="1:13" x14ac:dyDescent="0.3">
      <c r="A1" s="442" t="str" cm="1">
        <f t="array" aca="1" ref="A1" ca="1">MID(CELL("filename",C1),FIND("]",CELL("filename",C1))+1,255)</f>
        <v>None</v>
      </c>
      <c r="B1" s="443"/>
      <c r="C1" s="443"/>
      <c r="D1" s="443"/>
      <c r="E1" s="444"/>
      <c r="H1" t="s">
        <v>168</v>
      </c>
      <c r="K1" t="s">
        <v>159</v>
      </c>
      <c r="L1" s="355" t="s">
        <v>162</v>
      </c>
      <c r="M1" t="s">
        <v>166</v>
      </c>
    </row>
    <row r="2" spans="1:13" ht="14.4" customHeight="1" x14ac:dyDescent="0.3">
      <c r="A2" s="445"/>
      <c r="B2" s="446"/>
      <c r="C2" s="446"/>
      <c r="D2" s="446"/>
      <c r="E2" s="447"/>
      <c r="K2" s="245" t="s">
        <v>160</v>
      </c>
      <c r="L2" t="s">
        <v>163</v>
      </c>
      <c r="M2" s="245" t="s">
        <v>165</v>
      </c>
    </row>
    <row r="3" spans="1:13" ht="14.4" customHeight="1" x14ac:dyDescent="0.3">
      <c r="A3" s="445"/>
      <c r="B3" s="446"/>
      <c r="C3" s="446"/>
      <c r="D3" s="446"/>
      <c r="E3" s="447"/>
      <c r="K3" s="245" t="s">
        <v>161</v>
      </c>
      <c r="L3" s="245" t="s">
        <v>164</v>
      </c>
      <c r="M3" s="245" t="s">
        <v>157</v>
      </c>
    </row>
    <row r="4" spans="1:13" x14ac:dyDescent="0.3">
      <c r="A4" s="295" t="s">
        <v>174</v>
      </c>
      <c r="B4" s="295"/>
      <c r="C4" s="296"/>
      <c r="D4" s="232"/>
      <c r="E4" s="232"/>
      <c r="F4" s="232"/>
    </row>
    <row r="5" spans="1:13" x14ac:dyDescent="0.3">
      <c r="A5" s="229" t="s">
        <v>2</v>
      </c>
      <c r="C5" s="53"/>
      <c r="D5" s="53"/>
      <c r="E5" s="53"/>
      <c r="F5" s="53"/>
      <c r="H5" t="s">
        <v>154</v>
      </c>
    </row>
    <row r="6" spans="1:13" ht="15" thickBot="1" x14ac:dyDescent="0.35">
      <c r="A6" s="230" t="s">
        <v>108</v>
      </c>
      <c r="C6" s="192"/>
      <c r="D6" s="192"/>
      <c r="E6" s="233"/>
      <c r="F6" s="233"/>
    </row>
    <row r="7" spans="1:13" x14ac:dyDescent="0.3">
      <c r="A7" s="1">
        <v>0</v>
      </c>
      <c r="C7" s="1"/>
      <c r="D7" s="1"/>
      <c r="E7" s="1"/>
      <c r="F7" s="1"/>
    </row>
    <row r="8" spans="1:13" x14ac:dyDescent="0.3">
      <c r="A8" s="1">
        <v>0</v>
      </c>
      <c r="C8" s="1"/>
      <c r="D8" s="1"/>
      <c r="E8" s="1"/>
      <c r="F8" s="1"/>
    </row>
    <row r="9" spans="1:13" x14ac:dyDescent="0.3">
      <c r="A9" s="1">
        <v>0</v>
      </c>
      <c r="C9" s="1"/>
      <c r="D9" s="1"/>
      <c r="E9" s="1"/>
      <c r="F9" s="1"/>
    </row>
    <row r="10" spans="1:13" x14ac:dyDescent="0.3">
      <c r="A10" s="1">
        <v>0</v>
      </c>
      <c r="C10" s="1"/>
      <c r="D10" s="1"/>
      <c r="E10" s="1"/>
      <c r="F10" s="1"/>
    </row>
    <row r="11" spans="1:13" x14ac:dyDescent="0.3">
      <c r="A11" s="1">
        <v>0</v>
      </c>
      <c r="C11" s="1"/>
      <c r="D11" s="1"/>
      <c r="E11" s="1"/>
      <c r="F11" s="1"/>
    </row>
    <row r="12" spans="1:13" x14ac:dyDescent="0.3">
      <c r="A12" s="1">
        <v>0</v>
      </c>
      <c r="C12" s="1"/>
      <c r="D12" s="1"/>
      <c r="E12" s="1"/>
      <c r="F12" s="1"/>
    </row>
    <row r="13" spans="1:13" x14ac:dyDescent="0.3">
      <c r="A13" s="1">
        <v>0</v>
      </c>
      <c r="C13" s="1"/>
      <c r="D13" s="1"/>
      <c r="E13" s="1"/>
      <c r="F13" s="1"/>
    </row>
    <row r="14" spans="1:13" x14ac:dyDescent="0.3">
      <c r="A14" s="1">
        <v>0</v>
      </c>
      <c r="C14" s="1"/>
      <c r="D14" s="1"/>
      <c r="E14" s="1"/>
      <c r="F14" s="1"/>
    </row>
    <row r="15" spans="1:13" x14ac:dyDescent="0.3">
      <c r="A15" s="1">
        <v>0</v>
      </c>
      <c r="C15" s="1"/>
      <c r="D15" s="1"/>
      <c r="E15" s="1"/>
      <c r="F15" s="1"/>
    </row>
    <row r="16" spans="1:13" x14ac:dyDescent="0.3">
      <c r="A16" s="1">
        <v>0</v>
      </c>
      <c r="C16" s="1"/>
      <c r="D16" s="1"/>
      <c r="E16" s="1"/>
      <c r="F16" s="1"/>
    </row>
    <row r="17" spans="1:6" x14ac:dyDescent="0.3">
      <c r="A17" s="1">
        <v>0</v>
      </c>
      <c r="C17" s="1"/>
      <c r="D17" s="1"/>
      <c r="E17" s="1"/>
      <c r="F17" s="1"/>
    </row>
    <row r="18" spans="1:6" x14ac:dyDescent="0.3">
      <c r="A18" s="1">
        <v>0</v>
      </c>
      <c r="C18" s="1"/>
      <c r="D18" s="1"/>
      <c r="E18" s="1"/>
      <c r="F18" s="1"/>
    </row>
    <row r="19" spans="1:6" x14ac:dyDescent="0.3">
      <c r="A19" s="1">
        <v>0</v>
      </c>
      <c r="C19" s="1"/>
      <c r="D19" s="1"/>
      <c r="E19" s="1"/>
      <c r="F19" s="1"/>
    </row>
    <row r="20" spans="1:6" x14ac:dyDescent="0.3">
      <c r="A20" s="1">
        <v>0</v>
      </c>
      <c r="C20" s="1"/>
      <c r="D20" s="1"/>
      <c r="E20" s="1"/>
      <c r="F20" s="1"/>
    </row>
    <row r="21" spans="1:6" x14ac:dyDescent="0.3">
      <c r="A21" s="1">
        <v>0</v>
      </c>
      <c r="C21" s="1"/>
      <c r="D21" s="1"/>
      <c r="E21" s="1"/>
      <c r="F21" s="1"/>
    </row>
    <row r="22" spans="1:6" x14ac:dyDescent="0.3">
      <c r="A22" s="1">
        <v>0</v>
      </c>
      <c r="C22" s="1"/>
      <c r="D22" s="1"/>
      <c r="E22" s="1"/>
      <c r="F22" s="1"/>
    </row>
    <row r="23" spans="1:6" x14ac:dyDescent="0.3">
      <c r="A23" s="1">
        <v>0</v>
      </c>
      <c r="C23" s="1"/>
      <c r="D23" s="1"/>
      <c r="E23" s="1"/>
      <c r="F23" s="1"/>
    </row>
    <row r="24" spans="1:6" x14ac:dyDescent="0.3">
      <c r="A24" s="1">
        <v>0</v>
      </c>
      <c r="C24" s="1"/>
      <c r="D24" s="1"/>
      <c r="E24" s="1"/>
      <c r="F24" s="1"/>
    </row>
    <row r="25" spans="1:6" x14ac:dyDescent="0.3">
      <c r="A25" s="1">
        <v>0</v>
      </c>
      <c r="C25" s="1"/>
      <c r="D25" s="1"/>
      <c r="E25" s="1"/>
      <c r="F25" s="1"/>
    </row>
    <row r="26" spans="1:6" x14ac:dyDescent="0.3">
      <c r="A26" s="1">
        <v>0</v>
      </c>
      <c r="C26" s="1"/>
      <c r="D26" s="1"/>
      <c r="E26" s="1"/>
      <c r="F26" s="1"/>
    </row>
    <row r="27" spans="1:6" x14ac:dyDescent="0.3">
      <c r="A27" s="1">
        <v>0</v>
      </c>
      <c r="C27" s="1"/>
      <c r="D27" s="1"/>
      <c r="E27" s="1"/>
      <c r="F27" s="1"/>
    </row>
    <row r="28" spans="1:6" x14ac:dyDescent="0.3">
      <c r="A28" s="1">
        <v>0</v>
      </c>
      <c r="C28" s="1"/>
      <c r="D28" s="1"/>
      <c r="E28" s="1"/>
      <c r="F28" s="1"/>
    </row>
    <row r="29" spans="1:6" x14ac:dyDescent="0.3">
      <c r="A29" s="1">
        <v>0</v>
      </c>
      <c r="C29" s="1"/>
      <c r="D29" s="1"/>
      <c r="E29" s="1"/>
      <c r="F29" s="1"/>
    </row>
    <row r="30" spans="1:6" x14ac:dyDescent="0.3">
      <c r="A30" s="1">
        <v>0</v>
      </c>
      <c r="C30" s="1"/>
      <c r="D30" s="1"/>
      <c r="E30" s="1"/>
      <c r="F30" s="1"/>
    </row>
    <row r="31" spans="1:6" x14ac:dyDescent="0.3">
      <c r="A31" s="1">
        <v>0</v>
      </c>
      <c r="C31" s="1"/>
      <c r="D31" s="1"/>
      <c r="E31" s="1"/>
      <c r="F31" s="1"/>
    </row>
    <row r="32" spans="1:6" x14ac:dyDescent="0.3">
      <c r="A32" s="1">
        <v>0</v>
      </c>
      <c r="C32" s="1"/>
      <c r="D32" s="1"/>
      <c r="E32" s="1"/>
      <c r="F32" s="1"/>
    </row>
    <row r="33" spans="1:6" x14ac:dyDescent="0.3">
      <c r="A33" s="1">
        <v>0</v>
      </c>
      <c r="C33" s="1"/>
      <c r="D33" s="1"/>
      <c r="E33" s="1"/>
      <c r="F33" s="1"/>
    </row>
    <row r="34" spans="1:6" x14ac:dyDescent="0.3">
      <c r="A34" s="1">
        <v>0</v>
      </c>
      <c r="C34" s="1"/>
      <c r="D34" s="1"/>
      <c r="E34" s="1"/>
      <c r="F34" s="1"/>
    </row>
    <row r="35" spans="1:6" x14ac:dyDescent="0.3">
      <c r="A35" s="1">
        <v>0</v>
      </c>
      <c r="C35" s="1"/>
      <c r="D35" s="1"/>
      <c r="E35" s="1"/>
      <c r="F35" s="1"/>
    </row>
    <row r="36" spans="1:6" x14ac:dyDescent="0.3">
      <c r="A36" s="1">
        <v>0</v>
      </c>
      <c r="C36" s="1"/>
      <c r="D36" s="1"/>
      <c r="E36" s="1"/>
      <c r="F36" s="1"/>
    </row>
    <row r="37" spans="1:6" x14ac:dyDescent="0.3">
      <c r="A37" s="1">
        <v>0</v>
      </c>
      <c r="C37" s="1"/>
      <c r="D37" s="1"/>
      <c r="E37" s="1"/>
      <c r="F37" s="1"/>
    </row>
    <row r="38" spans="1:6" x14ac:dyDescent="0.3">
      <c r="A38" s="1">
        <v>0</v>
      </c>
      <c r="C38" s="1"/>
      <c r="D38" s="1"/>
      <c r="E38" s="1"/>
      <c r="F38" s="1"/>
    </row>
    <row r="39" spans="1:6" x14ac:dyDescent="0.3">
      <c r="A39" s="1">
        <v>0</v>
      </c>
      <c r="C39" s="1"/>
      <c r="D39" s="1"/>
      <c r="E39" s="1"/>
      <c r="F39" s="1"/>
    </row>
    <row r="40" spans="1:6" x14ac:dyDescent="0.3">
      <c r="A40" s="1">
        <v>0</v>
      </c>
      <c r="C40" s="1"/>
      <c r="D40" s="1"/>
      <c r="E40" s="1"/>
      <c r="F40" s="1"/>
    </row>
    <row r="41" spans="1:6" x14ac:dyDescent="0.3">
      <c r="A41" s="1">
        <v>0</v>
      </c>
      <c r="C41" s="1"/>
      <c r="D41" s="1"/>
      <c r="E41" s="1"/>
      <c r="F41" s="1"/>
    </row>
    <row r="42" spans="1:6" x14ac:dyDescent="0.3">
      <c r="A42" s="1">
        <v>0</v>
      </c>
      <c r="C42" s="1"/>
      <c r="D42" s="1"/>
      <c r="E42" s="1"/>
      <c r="F42" s="1"/>
    </row>
    <row r="43" spans="1:6" x14ac:dyDescent="0.3">
      <c r="A43" s="1">
        <v>0</v>
      </c>
      <c r="C43" s="1"/>
      <c r="D43" s="1"/>
      <c r="E43" s="1"/>
      <c r="F43" s="1"/>
    </row>
    <row r="44" spans="1:6" x14ac:dyDescent="0.3">
      <c r="A44" s="1">
        <v>0</v>
      </c>
      <c r="C44" s="1"/>
      <c r="D44" s="1"/>
      <c r="E44" s="1"/>
      <c r="F44" s="1"/>
    </row>
    <row r="45" spans="1:6" x14ac:dyDescent="0.3">
      <c r="A45" s="1">
        <v>0</v>
      </c>
      <c r="C45" s="1"/>
      <c r="D45" s="1"/>
      <c r="E45" s="1"/>
      <c r="F45" s="1"/>
    </row>
    <row r="46" spans="1:6" x14ac:dyDescent="0.3">
      <c r="A46" s="1">
        <v>0</v>
      </c>
      <c r="C46" s="1"/>
      <c r="D46" s="1"/>
      <c r="E46" s="1"/>
      <c r="F46" s="1"/>
    </row>
    <row r="47" spans="1:6" x14ac:dyDescent="0.3">
      <c r="A47" s="1">
        <v>0</v>
      </c>
      <c r="C47" s="1"/>
      <c r="D47" s="1"/>
      <c r="E47" s="1"/>
      <c r="F47" s="1"/>
    </row>
    <row r="48" spans="1:6" x14ac:dyDescent="0.3">
      <c r="A48" s="1">
        <v>0</v>
      </c>
      <c r="C48" s="1"/>
      <c r="D48" s="1"/>
      <c r="E48" s="1"/>
      <c r="F48" s="1"/>
    </row>
    <row r="49" spans="1:9" x14ac:dyDescent="0.3">
      <c r="A49" s="1">
        <v>0</v>
      </c>
      <c r="C49" s="1"/>
      <c r="D49" s="1"/>
      <c r="E49" s="1"/>
      <c r="F49" s="1"/>
    </row>
    <row r="50" spans="1:9" x14ac:dyDescent="0.3">
      <c r="A50" s="1">
        <v>0</v>
      </c>
      <c r="C50" s="1"/>
      <c r="D50" s="1"/>
      <c r="E50" s="1"/>
      <c r="F50" s="1"/>
    </row>
    <row r="51" spans="1:9" x14ac:dyDescent="0.3">
      <c r="A51" s="1">
        <v>0</v>
      </c>
      <c r="C51" s="1"/>
      <c r="D51" s="1"/>
      <c r="E51" s="1"/>
      <c r="F51" s="1"/>
    </row>
    <row r="52" spans="1:9" x14ac:dyDescent="0.3">
      <c r="A52" s="1">
        <v>0</v>
      </c>
      <c r="C52" s="1"/>
      <c r="D52" s="1"/>
      <c r="E52" s="1"/>
      <c r="F52" s="1"/>
    </row>
    <row r="53" spans="1:9" x14ac:dyDescent="0.3">
      <c r="A53" s="1">
        <v>0</v>
      </c>
      <c r="C53" s="1"/>
      <c r="D53" s="1"/>
      <c r="E53" s="1"/>
      <c r="F53" s="1"/>
    </row>
    <row r="54" spans="1:9" x14ac:dyDescent="0.3">
      <c r="A54" s="1">
        <v>0</v>
      </c>
      <c r="C54" s="1"/>
      <c r="D54" s="1"/>
      <c r="E54" s="1"/>
      <c r="F54" s="1"/>
    </row>
    <row r="55" spans="1:9" x14ac:dyDescent="0.3">
      <c r="A55" s="1">
        <v>0</v>
      </c>
      <c r="C55" s="1"/>
      <c r="D55" s="1"/>
      <c r="E55" s="1"/>
      <c r="F55" s="1"/>
    </row>
    <row r="56" spans="1:9" x14ac:dyDescent="0.3">
      <c r="A56" s="1">
        <v>0</v>
      </c>
      <c r="C56" s="1"/>
      <c r="D56" s="1"/>
      <c r="E56" s="1"/>
      <c r="F56" s="1"/>
    </row>
    <row r="57" spans="1:9" x14ac:dyDescent="0.3">
      <c r="A57" s="1">
        <v>0</v>
      </c>
      <c r="C57" s="1"/>
      <c r="D57" s="1"/>
      <c r="E57" s="1"/>
      <c r="F57" s="1"/>
    </row>
    <row r="58" spans="1:9" x14ac:dyDescent="0.3">
      <c r="A58" s="1">
        <v>0</v>
      </c>
      <c r="C58" s="1"/>
      <c r="D58" s="1"/>
      <c r="E58" s="1"/>
      <c r="F58" s="1"/>
    </row>
    <row r="59" spans="1:9" x14ac:dyDescent="0.3">
      <c r="A59" s="1">
        <v>0</v>
      </c>
      <c r="C59" s="1"/>
      <c r="D59" s="1"/>
      <c r="E59" s="1"/>
      <c r="F59" s="1"/>
    </row>
    <row r="60" spans="1:9" x14ac:dyDescent="0.3">
      <c r="A60" s="1">
        <v>0</v>
      </c>
      <c r="C60" s="1"/>
      <c r="D60" s="1"/>
      <c r="E60" s="1"/>
      <c r="F60" s="1"/>
    </row>
    <row r="61" spans="1:9" x14ac:dyDescent="0.3">
      <c r="A61" s="1">
        <v>0</v>
      </c>
      <c r="C61" s="1"/>
      <c r="D61" s="1"/>
      <c r="E61" s="1"/>
      <c r="F61" s="1"/>
    </row>
    <row r="62" spans="1:9" x14ac:dyDescent="0.3">
      <c r="A62" s="1">
        <v>0</v>
      </c>
      <c r="C62" s="1"/>
      <c r="D62" s="1"/>
      <c r="E62" s="1"/>
      <c r="F62" s="1"/>
      <c r="H62" s="1"/>
      <c r="I62" s="1"/>
    </row>
    <row r="63" spans="1:9" x14ac:dyDescent="0.3">
      <c r="A63" s="1">
        <v>0</v>
      </c>
      <c r="C63" s="1"/>
      <c r="D63" s="1"/>
      <c r="E63" s="1"/>
      <c r="F63" s="1"/>
      <c r="H63" s="1"/>
      <c r="I63" s="1"/>
    </row>
    <row r="64" spans="1:9" x14ac:dyDescent="0.3">
      <c r="A64" s="1">
        <v>0</v>
      </c>
      <c r="C64" s="1"/>
      <c r="D64" s="1"/>
      <c r="E64" s="1"/>
      <c r="F64" s="1"/>
      <c r="H64" s="1"/>
      <c r="I64" s="1"/>
    </row>
    <row r="65" spans="1:9" x14ac:dyDescent="0.3">
      <c r="A65" s="1">
        <v>0</v>
      </c>
      <c r="C65" s="1"/>
      <c r="D65" s="1"/>
      <c r="E65" s="1"/>
      <c r="F65" s="1"/>
      <c r="H65" s="1"/>
      <c r="I65" s="1"/>
    </row>
    <row r="66" spans="1:9" x14ac:dyDescent="0.3">
      <c r="A66" s="1">
        <v>0</v>
      </c>
      <c r="C66" s="1"/>
      <c r="D66" s="1"/>
      <c r="E66" s="1"/>
      <c r="F66" s="1"/>
      <c r="H66" s="1"/>
      <c r="I66" s="1"/>
    </row>
    <row r="67" spans="1:9" x14ac:dyDescent="0.3">
      <c r="A67" s="1">
        <v>0</v>
      </c>
      <c r="C67" s="1"/>
      <c r="D67" s="1"/>
      <c r="E67" s="1"/>
      <c r="F67" s="1"/>
      <c r="H67" s="1"/>
      <c r="I67" s="1"/>
    </row>
    <row r="68" spans="1:9" x14ac:dyDescent="0.3">
      <c r="A68" s="1">
        <v>0</v>
      </c>
      <c r="C68" s="1"/>
      <c r="D68" s="1"/>
      <c r="E68" s="1"/>
      <c r="F68" s="1"/>
      <c r="H68" s="1"/>
      <c r="I68" s="1"/>
    </row>
    <row r="69" spans="1:9" x14ac:dyDescent="0.3">
      <c r="A69" s="1">
        <v>0</v>
      </c>
      <c r="C69" s="1"/>
      <c r="D69" s="1"/>
      <c r="E69" s="1"/>
      <c r="F69" s="1"/>
      <c r="H69" s="1"/>
      <c r="I69" s="1"/>
    </row>
    <row r="70" spans="1:9" x14ac:dyDescent="0.3">
      <c r="A70" s="1">
        <v>0</v>
      </c>
      <c r="C70" s="1"/>
      <c r="D70" s="1"/>
      <c r="E70" s="1"/>
      <c r="F70" s="1"/>
      <c r="H70" s="1"/>
      <c r="I70" s="1"/>
    </row>
    <row r="71" spans="1:9" x14ac:dyDescent="0.3">
      <c r="A71" s="1">
        <v>0</v>
      </c>
      <c r="C71" s="1"/>
      <c r="D71" s="1"/>
      <c r="E71" s="1"/>
      <c r="F71" s="1"/>
      <c r="H71" s="1"/>
      <c r="I71" s="1"/>
    </row>
    <row r="72" spans="1:9" x14ac:dyDescent="0.3">
      <c r="A72" s="1">
        <v>0</v>
      </c>
      <c r="C72" s="1"/>
      <c r="D72" s="1"/>
      <c r="E72" s="1"/>
      <c r="F72" s="1"/>
      <c r="H72" s="1"/>
      <c r="I72" s="1"/>
    </row>
    <row r="73" spans="1:9" x14ac:dyDescent="0.3">
      <c r="A73" s="1">
        <v>0</v>
      </c>
      <c r="C73" s="1"/>
      <c r="D73" s="1"/>
      <c r="E73" s="1"/>
      <c r="F73" s="1"/>
      <c r="H73" s="1"/>
      <c r="I73" s="1"/>
    </row>
    <row r="74" spans="1:9" x14ac:dyDescent="0.3">
      <c r="A74" s="1">
        <v>0</v>
      </c>
      <c r="C74" s="1"/>
      <c r="D74" s="1"/>
      <c r="E74" s="1"/>
      <c r="F74" s="1"/>
      <c r="H74" s="1"/>
      <c r="I74" s="1"/>
    </row>
    <row r="75" spans="1:9" x14ac:dyDescent="0.3">
      <c r="A75" s="1">
        <v>0</v>
      </c>
      <c r="C75" s="1"/>
      <c r="D75" s="1"/>
      <c r="E75" s="1"/>
      <c r="F75" s="1"/>
      <c r="H75" s="1"/>
      <c r="I75" s="1"/>
    </row>
    <row r="76" spans="1:9" x14ac:dyDescent="0.3">
      <c r="A76" s="1">
        <v>0</v>
      </c>
      <c r="C76" s="1"/>
      <c r="D76" s="1"/>
      <c r="E76" s="1"/>
      <c r="F76" s="1"/>
      <c r="H76" s="1"/>
      <c r="I76" s="1"/>
    </row>
    <row r="77" spans="1:9" x14ac:dyDescent="0.3">
      <c r="A77" s="1">
        <v>0</v>
      </c>
      <c r="C77" s="1"/>
      <c r="D77" s="1"/>
      <c r="E77" s="1"/>
      <c r="F77" s="1"/>
      <c r="H77" s="1"/>
      <c r="I77" s="1"/>
    </row>
    <row r="78" spans="1:9" x14ac:dyDescent="0.3">
      <c r="A78" s="1">
        <v>0</v>
      </c>
      <c r="C78" s="1"/>
      <c r="D78" s="1"/>
      <c r="E78" s="1"/>
      <c r="F78" s="1"/>
      <c r="H78" s="1"/>
      <c r="I78" s="1"/>
    </row>
    <row r="79" spans="1:9" x14ac:dyDescent="0.3">
      <c r="A79" s="1">
        <v>0</v>
      </c>
      <c r="C79" s="1"/>
      <c r="D79" s="1"/>
      <c r="E79" s="1"/>
      <c r="F79" s="1"/>
      <c r="H79" s="1"/>
      <c r="I79" s="1"/>
    </row>
    <row r="80" spans="1:9" x14ac:dyDescent="0.3">
      <c r="A80" s="1">
        <v>0</v>
      </c>
      <c r="C80" s="1"/>
      <c r="D80" s="1"/>
      <c r="E80" s="1"/>
      <c r="F80" s="1"/>
      <c r="H80" s="1"/>
      <c r="I80" s="1"/>
    </row>
    <row r="81" spans="1:9" x14ac:dyDescent="0.3">
      <c r="A81" s="1">
        <v>0</v>
      </c>
      <c r="C81" s="1"/>
      <c r="D81" s="1"/>
      <c r="E81" s="1"/>
      <c r="F81" s="1"/>
      <c r="H81" s="1"/>
      <c r="I81" s="1"/>
    </row>
    <row r="82" spans="1:9" x14ac:dyDescent="0.3">
      <c r="A82" s="1">
        <v>0</v>
      </c>
      <c r="C82" s="1"/>
      <c r="D82" s="1"/>
      <c r="E82" s="1"/>
      <c r="F82" s="1"/>
      <c r="H82" s="1"/>
      <c r="I82" s="1"/>
    </row>
    <row r="83" spans="1:9" x14ac:dyDescent="0.3">
      <c r="A83" s="1">
        <v>0</v>
      </c>
      <c r="C83" s="1"/>
      <c r="D83" s="1"/>
      <c r="E83" s="1"/>
      <c r="F83" s="1"/>
      <c r="H83" s="1"/>
      <c r="I83" s="1"/>
    </row>
    <row r="84" spans="1:9" x14ac:dyDescent="0.3">
      <c r="A84" s="1">
        <v>0</v>
      </c>
      <c r="C84" s="1"/>
      <c r="D84" s="1"/>
      <c r="E84" s="1"/>
      <c r="F84" s="1"/>
      <c r="H84" s="1"/>
      <c r="I84" s="1"/>
    </row>
    <row r="85" spans="1:9" x14ac:dyDescent="0.3">
      <c r="A85" s="1">
        <v>0</v>
      </c>
      <c r="C85" s="1"/>
      <c r="D85" s="1"/>
      <c r="E85" s="1"/>
      <c r="F85" s="1"/>
      <c r="H85" s="1"/>
      <c r="I85" s="1"/>
    </row>
    <row r="86" spans="1:9" x14ac:dyDescent="0.3">
      <c r="A86" s="1">
        <v>0</v>
      </c>
      <c r="C86" s="1"/>
      <c r="D86" s="1"/>
      <c r="E86" s="1"/>
      <c r="F86" s="1"/>
      <c r="H86" s="1"/>
      <c r="I86" s="1"/>
    </row>
    <row r="87" spans="1:9" x14ac:dyDescent="0.3">
      <c r="A87" s="1">
        <v>0</v>
      </c>
      <c r="C87" s="1"/>
      <c r="D87" s="1"/>
      <c r="E87" s="1"/>
      <c r="F87" s="1"/>
      <c r="H87" s="1"/>
      <c r="I87" s="1"/>
    </row>
    <row r="88" spans="1:9" x14ac:dyDescent="0.3">
      <c r="A88" s="1">
        <v>0</v>
      </c>
      <c r="C88" s="1"/>
      <c r="D88" s="1"/>
      <c r="E88" s="1"/>
      <c r="F88" s="1"/>
      <c r="H88" s="1"/>
      <c r="I88" s="1"/>
    </row>
    <row r="89" spans="1:9" x14ac:dyDescent="0.3">
      <c r="A89" s="1">
        <v>0</v>
      </c>
      <c r="C89" s="1"/>
      <c r="D89" s="1"/>
      <c r="E89" s="1"/>
      <c r="F89" s="1"/>
      <c r="H89" s="1"/>
      <c r="I89" s="1"/>
    </row>
    <row r="90" spans="1:9" x14ac:dyDescent="0.3">
      <c r="A90" s="1">
        <v>0</v>
      </c>
      <c r="C90" s="1"/>
      <c r="D90" s="1"/>
      <c r="E90" s="1"/>
      <c r="F90" s="1"/>
      <c r="H90" s="1"/>
      <c r="I90" s="1"/>
    </row>
    <row r="91" spans="1:9" x14ac:dyDescent="0.3">
      <c r="A91" s="1">
        <v>0</v>
      </c>
      <c r="C91" s="1"/>
      <c r="D91" s="1"/>
      <c r="E91" s="1"/>
      <c r="F91" s="1"/>
      <c r="H91" s="1"/>
      <c r="I91" s="1"/>
    </row>
    <row r="92" spans="1:9" x14ac:dyDescent="0.3">
      <c r="A92" s="1">
        <v>0</v>
      </c>
      <c r="C92" s="1"/>
      <c r="D92" s="1"/>
      <c r="E92" s="1"/>
      <c r="F92" s="1"/>
      <c r="H92" s="1"/>
      <c r="I92" s="1"/>
    </row>
    <row r="104" spans="1:3" x14ac:dyDescent="0.3">
      <c r="A104" s="293" t="s">
        <v>176</v>
      </c>
      <c r="B104" s="292"/>
      <c r="C104" s="294"/>
    </row>
    <row r="105" spans="1:3" x14ac:dyDescent="0.3">
      <c r="A105" s="229" t="s">
        <v>2</v>
      </c>
    </row>
    <row r="106" spans="1:3" ht="15" thickBot="1" x14ac:dyDescent="0.35">
      <c r="A106" s="230" t="s">
        <v>108</v>
      </c>
    </row>
    <row r="107" spans="1:3" x14ac:dyDescent="0.3">
      <c r="A107" s="1">
        <v>0</v>
      </c>
    </row>
    <row r="108" spans="1:3" x14ac:dyDescent="0.3">
      <c r="A108" s="1">
        <v>0</v>
      </c>
    </row>
    <row r="109" spans="1:3" x14ac:dyDescent="0.3">
      <c r="A109" s="1">
        <v>0</v>
      </c>
    </row>
    <row r="110" spans="1:3" x14ac:dyDescent="0.3">
      <c r="A110" s="1">
        <v>0</v>
      </c>
    </row>
    <row r="111" spans="1:3" x14ac:dyDescent="0.3">
      <c r="A111" s="1">
        <v>0</v>
      </c>
    </row>
    <row r="112" spans="1:3" x14ac:dyDescent="0.3">
      <c r="A112" s="1">
        <v>0</v>
      </c>
    </row>
    <row r="113" spans="1:1" x14ac:dyDescent="0.3">
      <c r="A113" s="1">
        <v>0</v>
      </c>
    </row>
    <row r="114" spans="1:1" x14ac:dyDescent="0.3">
      <c r="A114" s="1">
        <v>0</v>
      </c>
    </row>
    <row r="115" spans="1:1" x14ac:dyDescent="0.3">
      <c r="A115" s="1">
        <v>0</v>
      </c>
    </row>
    <row r="116" spans="1:1" x14ac:dyDescent="0.3">
      <c r="A116" s="1">
        <v>0</v>
      </c>
    </row>
    <row r="117" spans="1:1" x14ac:dyDescent="0.3">
      <c r="A117" s="1">
        <v>0</v>
      </c>
    </row>
    <row r="118" spans="1:1" x14ac:dyDescent="0.3">
      <c r="A118" s="1">
        <v>0</v>
      </c>
    </row>
    <row r="119" spans="1:1" x14ac:dyDescent="0.3">
      <c r="A119" s="1">
        <v>0</v>
      </c>
    </row>
    <row r="120" spans="1:1" x14ac:dyDescent="0.3">
      <c r="A120" s="1">
        <v>0</v>
      </c>
    </row>
    <row r="121" spans="1:1" x14ac:dyDescent="0.3">
      <c r="A121" s="1">
        <v>0</v>
      </c>
    </row>
    <row r="122" spans="1:1" x14ac:dyDescent="0.3">
      <c r="A122" s="1">
        <v>0</v>
      </c>
    </row>
    <row r="123" spans="1:1" x14ac:dyDescent="0.3">
      <c r="A123" s="1">
        <v>0</v>
      </c>
    </row>
    <row r="124" spans="1:1" x14ac:dyDescent="0.3">
      <c r="A124" s="1">
        <v>0</v>
      </c>
    </row>
    <row r="125" spans="1:1" x14ac:dyDescent="0.3">
      <c r="A125" s="1">
        <v>0</v>
      </c>
    </row>
    <row r="126" spans="1:1" x14ac:dyDescent="0.3">
      <c r="A126" s="1">
        <v>0</v>
      </c>
    </row>
    <row r="127" spans="1:1" x14ac:dyDescent="0.3">
      <c r="A127" s="1">
        <v>0</v>
      </c>
    </row>
    <row r="128" spans="1:1" x14ac:dyDescent="0.3">
      <c r="A128" s="1">
        <v>0</v>
      </c>
    </row>
    <row r="129" spans="1:1" x14ac:dyDescent="0.3">
      <c r="A129" s="1">
        <v>0</v>
      </c>
    </row>
    <row r="130" spans="1:1" x14ac:dyDescent="0.3">
      <c r="A130" s="1">
        <v>0</v>
      </c>
    </row>
    <row r="131" spans="1:1" x14ac:dyDescent="0.3">
      <c r="A131" s="1">
        <v>0</v>
      </c>
    </row>
    <row r="132" spans="1:1" x14ac:dyDescent="0.3">
      <c r="A132" s="1">
        <v>0</v>
      </c>
    </row>
    <row r="133" spans="1:1" x14ac:dyDescent="0.3">
      <c r="A133" s="1">
        <v>0</v>
      </c>
    </row>
    <row r="134" spans="1:1" x14ac:dyDescent="0.3">
      <c r="A134" s="1">
        <v>0</v>
      </c>
    </row>
    <row r="135" spans="1:1" x14ac:dyDescent="0.3">
      <c r="A135" s="1">
        <v>0</v>
      </c>
    </row>
    <row r="136" spans="1:1" x14ac:dyDescent="0.3">
      <c r="A136" s="1">
        <v>0</v>
      </c>
    </row>
    <row r="137" spans="1:1" x14ac:dyDescent="0.3">
      <c r="A137" s="1">
        <v>0</v>
      </c>
    </row>
    <row r="138" spans="1:1" x14ac:dyDescent="0.3">
      <c r="A138" s="1">
        <v>0</v>
      </c>
    </row>
    <row r="139" spans="1:1" x14ac:dyDescent="0.3">
      <c r="A139" s="1">
        <v>0</v>
      </c>
    </row>
    <row r="140" spans="1:1" x14ac:dyDescent="0.3">
      <c r="A140" s="1">
        <v>0</v>
      </c>
    </row>
    <row r="141" spans="1:1" x14ac:dyDescent="0.3">
      <c r="A141" s="1">
        <v>0</v>
      </c>
    </row>
    <row r="142" spans="1:1" x14ac:dyDescent="0.3">
      <c r="A142" s="1">
        <v>0</v>
      </c>
    </row>
    <row r="143" spans="1:1" x14ac:dyDescent="0.3">
      <c r="A143" s="1">
        <v>0</v>
      </c>
    </row>
    <row r="144" spans="1:1" x14ac:dyDescent="0.3">
      <c r="A144" s="1">
        <v>0</v>
      </c>
    </row>
    <row r="145" spans="1:1" x14ac:dyDescent="0.3">
      <c r="A145" s="1">
        <v>0</v>
      </c>
    </row>
    <row r="146" spans="1:1" x14ac:dyDescent="0.3">
      <c r="A146" s="1">
        <v>0</v>
      </c>
    </row>
    <row r="147" spans="1:1" x14ac:dyDescent="0.3">
      <c r="A147" s="1">
        <v>0</v>
      </c>
    </row>
    <row r="148" spans="1:1" x14ac:dyDescent="0.3">
      <c r="A148" s="1">
        <v>0</v>
      </c>
    </row>
    <row r="149" spans="1:1" x14ac:dyDescent="0.3">
      <c r="A149" s="1">
        <v>0</v>
      </c>
    </row>
    <row r="150" spans="1:1" x14ac:dyDescent="0.3">
      <c r="A150" s="1">
        <v>0</v>
      </c>
    </row>
    <row r="151" spans="1:1" x14ac:dyDescent="0.3">
      <c r="A151" s="1">
        <v>0</v>
      </c>
    </row>
    <row r="152" spans="1:1" x14ac:dyDescent="0.3">
      <c r="A152" s="1">
        <v>0</v>
      </c>
    </row>
    <row r="153" spans="1:1" x14ac:dyDescent="0.3">
      <c r="A153" s="1">
        <v>0</v>
      </c>
    </row>
    <row r="154" spans="1:1" x14ac:dyDescent="0.3">
      <c r="A154" s="1">
        <v>0</v>
      </c>
    </row>
    <row r="155" spans="1:1" x14ac:dyDescent="0.3">
      <c r="A155" s="1">
        <v>0</v>
      </c>
    </row>
    <row r="156" spans="1:1" x14ac:dyDescent="0.3">
      <c r="A156" s="1">
        <v>0</v>
      </c>
    </row>
    <row r="157" spans="1:1" x14ac:dyDescent="0.3">
      <c r="A157" s="1">
        <v>0</v>
      </c>
    </row>
    <row r="158" spans="1:1" x14ac:dyDescent="0.3">
      <c r="A158" s="1">
        <v>0</v>
      </c>
    </row>
    <row r="159" spans="1:1" x14ac:dyDescent="0.3">
      <c r="A159" s="1">
        <v>0</v>
      </c>
    </row>
    <row r="160" spans="1:1" x14ac:dyDescent="0.3">
      <c r="A160" s="1">
        <v>0</v>
      </c>
    </row>
    <row r="161" spans="1:1" x14ac:dyDescent="0.3">
      <c r="A161" s="1">
        <v>0</v>
      </c>
    </row>
    <row r="162" spans="1:1" x14ac:dyDescent="0.3">
      <c r="A162" s="1">
        <v>0</v>
      </c>
    </row>
    <row r="163" spans="1:1" x14ac:dyDescent="0.3">
      <c r="A163" s="1">
        <v>0</v>
      </c>
    </row>
    <row r="164" spans="1:1" x14ac:dyDescent="0.3">
      <c r="A164" s="1">
        <v>0</v>
      </c>
    </row>
    <row r="165" spans="1:1" x14ac:dyDescent="0.3">
      <c r="A165" s="1">
        <v>0</v>
      </c>
    </row>
    <row r="166" spans="1:1" x14ac:dyDescent="0.3">
      <c r="A166" s="1">
        <v>0</v>
      </c>
    </row>
    <row r="167" spans="1:1" x14ac:dyDescent="0.3">
      <c r="A167" s="1">
        <v>0</v>
      </c>
    </row>
    <row r="168" spans="1:1" x14ac:dyDescent="0.3">
      <c r="A168" s="1">
        <v>0</v>
      </c>
    </row>
    <row r="169" spans="1:1" x14ac:dyDescent="0.3">
      <c r="A169" s="1">
        <v>0</v>
      </c>
    </row>
    <row r="170" spans="1:1" x14ac:dyDescent="0.3">
      <c r="A170" s="1">
        <v>0</v>
      </c>
    </row>
    <row r="171" spans="1:1" x14ac:dyDescent="0.3">
      <c r="A171" s="1">
        <v>0</v>
      </c>
    </row>
    <row r="172" spans="1:1" x14ac:dyDescent="0.3">
      <c r="A172" s="1">
        <v>0</v>
      </c>
    </row>
    <row r="173" spans="1:1" x14ac:dyDescent="0.3">
      <c r="A173" s="1">
        <v>0</v>
      </c>
    </row>
    <row r="174" spans="1:1" x14ac:dyDescent="0.3">
      <c r="A174" s="1">
        <v>0</v>
      </c>
    </row>
    <row r="175" spans="1:1" x14ac:dyDescent="0.3">
      <c r="A175" s="1">
        <v>0</v>
      </c>
    </row>
    <row r="176" spans="1:1" x14ac:dyDescent="0.3">
      <c r="A176" s="1">
        <v>0</v>
      </c>
    </row>
    <row r="177" spans="1:1" x14ac:dyDescent="0.3">
      <c r="A177" s="1">
        <v>0</v>
      </c>
    </row>
    <row r="178" spans="1:1" x14ac:dyDescent="0.3">
      <c r="A178" s="1">
        <v>0</v>
      </c>
    </row>
    <row r="179" spans="1:1" x14ac:dyDescent="0.3">
      <c r="A179" s="1">
        <v>0</v>
      </c>
    </row>
    <row r="180" spans="1:1" x14ac:dyDescent="0.3">
      <c r="A180" s="1">
        <v>0</v>
      </c>
    </row>
    <row r="181" spans="1:1" x14ac:dyDescent="0.3">
      <c r="A181" s="1">
        <v>0</v>
      </c>
    </row>
    <row r="182" spans="1:1" x14ac:dyDescent="0.3">
      <c r="A182" s="1">
        <v>0</v>
      </c>
    </row>
    <row r="183" spans="1:1" x14ac:dyDescent="0.3">
      <c r="A183" s="1">
        <v>0</v>
      </c>
    </row>
    <row r="184" spans="1:1" x14ac:dyDescent="0.3">
      <c r="A184" s="1">
        <v>0</v>
      </c>
    </row>
    <row r="185" spans="1:1" x14ac:dyDescent="0.3">
      <c r="A185" s="1">
        <v>0</v>
      </c>
    </row>
    <row r="186" spans="1:1" x14ac:dyDescent="0.3">
      <c r="A186" s="1">
        <v>0</v>
      </c>
    </row>
    <row r="187" spans="1:1" x14ac:dyDescent="0.3">
      <c r="A187" s="1">
        <v>0</v>
      </c>
    </row>
    <row r="188" spans="1:1" x14ac:dyDescent="0.3">
      <c r="A188" s="1">
        <v>0</v>
      </c>
    </row>
    <row r="189" spans="1:1" x14ac:dyDescent="0.3">
      <c r="A189" s="1">
        <v>0</v>
      </c>
    </row>
    <row r="190" spans="1:1" x14ac:dyDescent="0.3">
      <c r="A190" s="1">
        <v>0</v>
      </c>
    </row>
    <row r="191" spans="1:1" x14ac:dyDescent="0.3">
      <c r="A191" s="1">
        <v>0</v>
      </c>
    </row>
    <row r="192" spans="1:1" x14ac:dyDescent="0.3">
      <c r="A192" s="1">
        <v>0</v>
      </c>
    </row>
  </sheetData>
  <mergeCells count="1">
    <mergeCell ref="A1:E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88F46-1813-4D98-9D68-229613AC43A3}">
  <sheetPr codeName="Sheet6"/>
  <dimension ref="A1:U192"/>
  <sheetViews>
    <sheetView zoomScaleNormal="100" workbookViewId="0">
      <pane ySplit="3" topLeftCell="A4" activePane="bottomLeft" state="frozen"/>
      <selection pane="bottomLeft" sqref="A1:E3"/>
    </sheetView>
  </sheetViews>
  <sheetFormatPr defaultRowHeight="14.4" x14ac:dyDescent="0.3"/>
  <cols>
    <col min="1" max="1" width="11.77734375" customWidth="1"/>
    <col min="2" max="2" width="3.33203125" customWidth="1"/>
    <col min="3" max="3" width="14.6640625" customWidth="1"/>
    <col min="4" max="8" width="11.77734375" customWidth="1"/>
    <col min="9" max="9" width="13.44140625" customWidth="1"/>
    <col min="10" max="26" width="11.77734375" customWidth="1"/>
  </cols>
  <sheetData>
    <row r="1" spans="1:21" x14ac:dyDescent="0.3">
      <c r="A1" s="442" t="str" cm="1">
        <f t="array" aca="1" ref="A1" ca="1">MID(CELL("filename",C1),FIND("]",CELL("filename",C1))+1,255)</f>
        <v>Kentucky</v>
      </c>
      <c r="B1" s="443"/>
      <c r="C1" s="443"/>
      <c r="D1" s="443"/>
      <c r="E1" s="444"/>
      <c r="I1" s="244" t="s">
        <v>177</v>
      </c>
      <c r="J1" s="235" t="s">
        <v>178</v>
      </c>
    </row>
    <row r="2" spans="1:21" ht="14.4" customHeight="1" x14ac:dyDescent="0.3">
      <c r="A2" s="445"/>
      <c r="B2" s="446"/>
      <c r="C2" s="446"/>
      <c r="D2" s="446"/>
      <c r="E2" s="447"/>
    </row>
    <row r="3" spans="1:21" ht="14.4" customHeight="1" x14ac:dyDescent="0.3">
      <c r="A3" s="445"/>
      <c r="B3" s="446"/>
      <c r="C3" s="446"/>
      <c r="D3" s="446"/>
      <c r="E3" s="447"/>
      <c r="I3" s="245" t="s">
        <v>179</v>
      </c>
      <c r="J3" s="20" t="s">
        <v>180</v>
      </c>
      <c r="N3" t="s">
        <v>275</v>
      </c>
    </row>
    <row r="4" spans="1:21" x14ac:dyDescent="0.3">
      <c r="A4" s="448" t="s">
        <v>174</v>
      </c>
      <c r="B4" s="449"/>
      <c r="C4" s="449"/>
      <c r="D4" s="449"/>
      <c r="E4" s="449"/>
      <c r="F4" s="450"/>
    </row>
    <row r="5" spans="1:21" x14ac:dyDescent="0.3">
      <c r="A5" s="243" t="s">
        <v>2</v>
      </c>
      <c r="C5" s="243"/>
      <c r="D5" s="128" t="s">
        <v>113</v>
      </c>
      <c r="E5" s="128" t="s">
        <v>114</v>
      </c>
      <c r="F5" s="128" t="s">
        <v>115</v>
      </c>
      <c r="H5" t="s">
        <v>154</v>
      </c>
    </row>
    <row r="6" spans="1:21" ht="15" thickBot="1" x14ac:dyDescent="0.35">
      <c r="A6" s="230" t="s">
        <v>108</v>
      </c>
      <c r="C6" s="291" t="s">
        <v>96</v>
      </c>
      <c r="D6" s="155" t="s">
        <v>108</v>
      </c>
      <c r="E6" s="155" t="s">
        <v>108</v>
      </c>
      <c r="F6" s="155" t="s">
        <v>108</v>
      </c>
    </row>
    <row r="7" spans="1:21" x14ac:dyDescent="0.3">
      <c r="A7" s="1">
        <f t="shared" ref="A7:A70" si="0">D7+F7</f>
        <v>0</v>
      </c>
      <c r="C7" s="1" cm="1">
        <f t="array" ref="C7">_xlfn.IFS(Projections!AW7+Projections!BG7&lt;=0,0,AND(NOT(ISBLANK(Setup!C$10)),Projections!A7&gt;65,Projections!B7&gt;65),Projections!AW7+Projections!BG7-M$15,AND(NOT(ISBLANK(Setup!C$10)),OR(Projections!A7&gt;65,Projections!B7&gt;65)),Projections!AW7+Projections!BG7-L$15,Projections!A7&gt;65,Projections!AW7+Projections!BG7-L$15,1,Projections!AW7+Projections!BG7-K$15)</f>
        <v>0</v>
      </c>
      <c r="D7" s="1">
        <f t="shared" ref="D7:D38" si="1">-C7*K$19</f>
        <v>0</v>
      </c>
      <c r="E7" s="18">
        <f t="shared" ref="E7:E38" si="2">IF(C7=0,0,-D7/C7)</f>
        <v>0</v>
      </c>
      <c r="F7" s="1">
        <f t="shared" ref="F7:F38" si="3">IF(C7=0,0,(D7*E7^2)+(D7*E7^3)+(D7*E7^4)+(D7*E7^5)+(D7*E7^6)+(D7*E7^7)+(D7*E7^8)+(D7*E7^9)+(D7*E7^10))</f>
        <v>0</v>
      </c>
      <c r="H7" s="1"/>
      <c r="I7" s="79" t="s">
        <v>12</v>
      </c>
      <c r="J7" s="80"/>
      <c r="K7" s="81"/>
      <c r="L7" s="82"/>
      <c r="M7" s="83"/>
      <c r="N7" s="100"/>
      <c r="O7" s="83"/>
      <c r="P7" s="83"/>
      <c r="Q7" s="100"/>
      <c r="R7" s="100"/>
      <c r="S7" s="100"/>
      <c r="T7" s="100"/>
      <c r="U7" s="129"/>
    </row>
    <row r="8" spans="1:21" x14ac:dyDescent="0.3">
      <c r="A8" s="1">
        <f t="shared" si="0"/>
        <v>0</v>
      </c>
      <c r="C8" s="1" cm="1">
        <f t="array" ref="C8">_xlfn.IFS(Projections!AW8+Projections!BG8&lt;=0,0,AND(NOT(ISBLANK(Setup!C$10)),Projections!A8&gt;65,Projections!B8&gt;65),Projections!AW8+Projections!BG8-M$15,AND(NOT(ISBLANK(Setup!C$10)),OR(Projections!A8&gt;65,Projections!B8&gt;65)),Projections!AW8+Projections!BG8-L$15,Projections!A8&gt;65,Projections!AW8+Projections!BG8-L$15,1,Projections!AW8+Projections!BG8-K$15)</f>
        <v>0</v>
      </c>
      <c r="D8" s="1">
        <f t="shared" si="1"/>
        <v>0</v>
      </c>
      <c r="E8" s="18">
        <f t="shared" si="2"/>
        <v>0</v>
      </c>
      <c r="F8" s="1">
        <f t="shared" si="3"/>
        <v>0</v>
      </c>
      <c r="H8" s="1"/>
      <c r="I8" s="84"/>
      <c r="U8" s="67"/>
    </row>
    <row r="9" spans="1:21" x14ac:dyDescent="0.3">
      <c r="A9" s="1">
        <f t="shared" si="0"/>
        <v>0</v>
      </c>
      <c r="C9" s="1" cm="1">
        <f t="array" ref="C9">_xlfn.IFS(Projections!AW9+Projections!BG9&lt;=0,0,AND(NOT(ISBLANK(Setup!C$10)),Projections!A9&gt;65,Projections!B9&gt;65),Projections!AW9+Projections!BG9-M$15,AND(NOT(ISBLANK(Setup!C$10)),OR(Projections!A9&gt;65,Projections!B9&gt;65)),Projections!AW9+Projections!BG9-L$15,Projections!A9&gt;65,Projections!AW9+Projections!BG9-L$15,1,Projections!AW9+Projections!BG9-K$15)</f>
        <v>0</v>
      </c>
      <c r="D9" s="1">
        <f t="shared" si="1"/>
        <v>0</v>
      </c>
      <c r="E9" s="18">
        <f t="shared" si="2"/>
        <v>0</v>
      </c>
      <c r="F9" s="1">
        <f t="shared" si="3"/>
        <v>0</v>
      </c>
      <c r="H9" s="1"/>
      <c r="I9" s="242" t="s">
        <v>171</v>
      </c>
      <c r="U9" s="67"/>
    </row>
    <row r="10" spans="1:21" x14ac:dyDescent="0.3">
      <c r="A10" s="1">
        <f t="shared" si="0"/>
        <v>0</v>
      </c>
      <c r="C10" s="1" cm="1">
        <f t="array" ref="C10">_xlfn.IFS(Projections!AW10+Projections!BG10&lt;=0,0,AND(NOT(ISBLANK(Setup!C$10)),Projections!A10&gt;65,Projections!B10&gt;65),Projections!AW10+Projections!BG10-M$15,AND(NOT(ISBLANK(Setup!C$10)),OR(Projections!A10&gt;65,Projections!B10&gt;65)),Projections!AW10+Projections!BG10-L$15,Projections!A10&gt;65,Projections!AW10+Projections!BG10-L$15,1,Projections!AW10+Projections!BG10-K$15)</f>
        <v>0</v>
      </c>
      <c r="D10" s="1">
        <f t="shared" si="1"/>
        <v>0</v>
      </c>
      <c r="E10" s="18">
        <f t="shared" si="2"/>
        <v>0</v>
      </c>
      <c r="F10" s="1">
        <f t="shared" si="3"/>
        <v>0</v>
      </c>
      <c r="H10" s="1"/>
      <c r="I10" s="84"/>
      <c r="J10" t="s">
        <v>181</v>
      </c>
      <c r="U10" s="67"/>
    </row>
    <row r="11" spans="1:21" x14ac:dyDescent="0.3">
      <c r="A11" s="1">
        <f t="shared" si="0"/>
        <v>0</v>
      </c>
      <c r="C11" s="1" cm="1">
        <f t="array" ref="C11">_xlfn.IFS(Projections!AW11+Projections!BG11&lt;=0,0,AND(NOT(ISBLANK(Setup!C$10)),Projections!A11&gt;65,Projections!B11&gt;65),Projections!AW11+Projections!BG11-M$15,AND(NOT(ISBLANK(Setup!C$10)),OR(Projections!A11&gt;65,Projections!B11&gt;65)),Projections!AW11+Projections!BG11-L$15,Projections!A11&gt;65,Projections!AW11+Projections!BG11-L$15,1,Projections!AW11+Projections!BG11-K$15)</f>
        <v>0</v>
      </c>
      <c r="D11" s="1">
        <f t="shared" si="1"/>
        <v>0</v>
      </c>
      <c r="E11" s="18">
        <f t="shared" si="2"/>
        <v>0</v>
      </c>
      <c r="F11" s="1">
        <f t="shared" si="3"/>
        <v>0</v>
      </c>
      <c r="H11" s="1"/>
      <c r="I11" s="84"/>
      <c r="J11" t="s">
        <v>274</v>
      </c>
      <c r="U11" s="67"/>
    </row>
    <row r="12" spans="1:21" x14ac:dyDescent="0.3">
      <c r="A12" s="1">
        <f t="shared" si="0"/>
        <v>0</v>
      </c>
      <c r="C12" s="1" cm="1">
        <f t="array" ref="C12">_xlfn.IFS(Projections!AW12+Projections!BG12&lt;=0,0,AND(NOT(ISBLANK(Setup!C$10)),Projections!A12&gt;65,Projections!B12&gt;65),Projections!AW12+Projections!BG12-M$15,AND(NOT(ISBLANK(Setup!C$10)),OR(Projections!A12&gt;65,Projections!B12&gt;65)),Projections!AW12+Projections!BG12-L$15,Projections!A12&gt;65,Projections!AW12+Projections!BG12-L$15,1,Projections!AW12+Projections!BG12-K$15)</f>
        <v>0</v>
      </c>
      <c r="D12" s="1">
        <f t="shared" si="1"/>
        <v>0</v>
      </c>
      <c r="E12" s="18">
        <f t="shared" si="2"/>
        <v>0</v>
      </c>
      <c r="F12" s="1">
        <f t="shared" si="3"/>
        <v>0</v>
      </c>
      <c r="H12" s="1"/>
      <c r="I12" s="84"/>
      <c r="P12" s="385"/>
      <c r="U12" s="67"/>
    </row>
    <row r="13" spans="1:21" x14ac:dyDescent="0.3">
      <c r="A13" s="1">
        <f t="shared" si="0"/>
        <v>0</v>
      </c>
      <c r="C13" s="1" cm="1">
        <f t="array" ref="C13">_xlfn.IFS(Projections!AW13+Projections!BG13&lt;=0,0,AND(NOT(ISBLANK(Setup!C$10)),Projections!A13&gt;65,Projections!B13&gt;65),Projections!AW13+Projections!BG13-M$15,AND(NOT(ISBLANK(Setup!C$10)),OR(Projections!A13&gt;65,Projections!B13&gt;65)),Projections!AW13+Projections!BG13-L$15,Projections!A13&gt;65,Projections!AW13+Projections!BG13-L$15,1,Projections!AW13+Projections!BG13-K$15)</f>
        <v>0</v>
      </c>
      <c r="D13" s="1">
        <f t="shared" si="1"/>
        <v>0</v>
      </c>
      <c r="E13" s="18">
        <f t="shared" si="2"/>
        <v>0</v>
      </c>
      <c r="F13" s="1">
        <f t="shared" si="3"/>
        <v>0</v>
      </c>
      <c r="H13" s="1"/>
      <c r="I13" s="105"/>
      <c r="J13" s="85" t="s">
        <v>183</v>
      </c>
      <c r="K13" s="86"/>
      <c r="L13" s="247"/>
      <c r="M13" s="126"/>
      <c r="N13" s="54"/>
      <c r="O13" s="126"/>
      <c r="P13" s="386"/>
      <c r="Q13" s="126"/>
      <c r="R13" s="48"/>
      <c r="S13" s="48"/>
      <c r="T13" s="48"/>
      <c r="U13" s="130"/>
    </row>
    <row r="14" spans="1:21" x14ac:dyDescent="0.3">
      <c r="A14" s="1">
        <f t="shared" si="0"/>
        <v>0</v>
      </c>
      <c r="C14" s="1" cm="1">
        <f t="array" ref="C14">_xlfn.IFS(Projections!AW14+Projections!BG14&lt;=0,0,AND(NOT(ISBLANK(Setup!C$10)),Projections!A14&gt;65,Projections!B14&gt;65),Projections!AW14+Projections!BG14-M$15,AND(NOT(ISBLANK(Setup!C$10)),OR(Projections!A14&gt;65,Projections!B14&gt;65)),Projections!AW14+Projections!BG14-L$15,Projections!A14&gt;65,Projections!AW14+Projections!BG14-L$15,1,Projections!AW14+Projections!BG14-K$15)</f>
        <v>0</v>
      </c>
      <c r="D14" s="1">
        <f t="shared" si="1"/>
        <v>0</v>
      </c>
      <c r="E14" s="18">
        <f t="shared" si="2"/>
        <v>0</v>
      </c>
      <c r="F14" s="1">
        <f t="shared" si="3"/>
        <v>0</v>
      </c>
      <c r="H14" s="1"/>
      <c r="I14" s="105"/>
      <c r="K14" s="49" t="s">
        <v>284</v>
      </c>
      <c r="L14" s="388" t="s">
        <v>282</v>
      </c>
      <c r="M14" s="62" t="s">
        <v>283</v>
      </c>
      <c r="N14" s="137"/>
      <c r="O14" s="137"/>
      <c r="P14" s="126"/>
      <c r="Q14" s="126"/>
      <c r="R14" s="48"/>
      <c r="S14" s="48"/>
      <c r="T14" s="48"/>
      <c r="U14" s="130"/>
    </row>
    <row r="15" spans="1:21" x14ac:dyDescent="0.3">
      <c r="A15" s="1">
        <f t="shared" si="0"/>
        <v>0</v>
      </c>
      <c r="C15" s="1" cm="1">
        <f t="array" ref="C15">_xlfn.IFS(Projections!AW15+Projections!BG15&lt;=0,0,AND(NOT(ISBLANK(Setup!C$10)),Projections!A15&gt;65,Projections!B15&gt;65),Projections!AW15+Projections!BG15-M$15,AND(NOT(ISBLANK(Setup!C$10)),OR(Projections!A15&gt;65,Projections!B15&gt;65)),Projections!AW15+Projections!BG15-L$15,Projections!A15&gt;65,Projections!AW15+Projections!BG15-L$15,1,Projections!AW15+Projections!BG15-K$15)</f>
        <v>0</v>
      </c>
      <c r="D15" s="1">
        <f t="shared" si="1"/>
        <v>0</v>
      </c>
      <c r="E15" s="18">
        <f t="shared" si="2"/>
        <v>0</v>
      </c>
      <c r="F15" s="1">
        <f t="shared" si="3"/>
        <v>0</v>
      </c>
      <c r="H15" s="1"/>
      <c r="I15" s="105"/>
      <c r="J15" s="57" t="s">
        <v>285</v>
      </c>
      <c r="K15" s="309">
        <v>2690</v>
      </c>
      <c r="L15" s="309">
        <v>3490</v>
      </c>
      <c r="M15" s="309">
        <v>4290</v>
      </c>
      <c r="N15" s="137"/>
      <c r="O15" s="137"/>
      <c r="P15" s="126"/>
      <c r="Q15" s="126"/>
      <c r="R15" s="48"/>
      <c r="S15" s="48"/>
      <c r="T15" s="48"/>
      <c r="U15" s="130"/>
    </row>
    <row r="16" spans="1:21" x14ac:dyDescent="0.3">
      <c r="A16" s="1">
        <f t="shared" si="0"/>
        <v>0</v>
      </c>
      <c r="C16" s="1" cm="1">
        <f t="array" ref="C16">_xlfn.IFS(Projections!AW16+Projections!BG16&lt;=0,0,AND(NOT(ISBLANK(Setup!C$10)),Projections!A16&gt;65,Projections!B16&gt;65),Projections!AW16+Projections!BG16-M$15,AND(NOT(ISBLANK(Setup!C$10)),OR(Projections!A16&gt;65,Projections!B16&gt;65)),Projections!AW16+Projections!BG16-L$15,Projections!A16&gt;65,Projections!AW16+Projections!BG16-L$15,1,Projections!AW16+Projections!BG16-K$15)</f>
        <v>0</v>
      </c>
      <c r="D16" s="1">
        <f t="shared" si="1"/>
        <v>0</v>
      </c>
      <c r="E16" s="18">
        <f t="shared" si="2"/>
        <v>0</v>
      </c>
      <c r="F16" s="1">
        <f t="shared" si="3"/>
        <v>0</v>
      </c>
      <c r="H16" s="1"/>
      <c r="I16" s="105"/>
      <c r="J16" s="57"/>
      <c r="K16" s="403"/>
      <c r="L16" s="403"/>
      <c r="M16" s="137"/>
      <c r="N16" s="126"/>
      <c r="O16" s="126"/>
      <c r="P16" s="126"/>
      <c r="Q16" s="126"/>
      <c r="R16" s="48"/>
      <c r="S16" s="48"/>
      <c r="T16" s="48"/>
      <c r="U16" s="130"/>
    </row>
    <row r="17" spans="1:21" x14ac:dyDescent="0.3">
      <c r="A17" s="1">
        <f t="shared" si="0"/>
        <v>0</v>
      </c>
      <c r="C17" s="1" cm="1">
        <f t="array" ref="C17">_xlfn.IFS(Projections!AW17+Projections!BG17&lt;=0,0,AND(NOT(ISBLANK(Setup!C$10)),Projections!A17&gt;65,Projections!B17&gt;65),Projections!AW17+Projections!BG17-M$15,AND(NOT(ISBLANK(Setup!C$10)),OR(Projections!A17&gt;65,Projections!B17&gt;65)),Projections!AW17+Projections!BG17-L$15,Projections!A17&gt;65,Projections!AW17+Projections!BG17-L$15,1,Projections!AW17+Projections!BG17-K$15)</f>
        <v>0</v>
      </c>
      <c r="D17" s="1">
        <f t="shared" si="1"/>
        <v>0</v>
      </c>
      <c r="E17" s="18">
        <f t="shared" si="2"/>
        <v>0</v>
      </c>
      <c r="F17" s="1">
        <f t="shared" si="3"/>
        <v>0</v>
      </c>
      <c r="H17" s="1"/>
      <c r="I17" s="105"/>
      <c r="N17" s="137"/>
      <c r="O17" s="137"/>
      <c r="P17" s="247"/>
      <c r="Q17" s="126"/>
      <c r="R17" s="87"/>
      <c r="S17" s="87"/>
      <c r="T17" s="87"/>
      <c r="U17" s="130"/>
    </row>
    <row r="18" spans="1:21" x14ac:dyDescent="0.3">
      <c r="A18" s="1">
        <f t="shared" si="0"/>
        <v>0</v>
      </c>
      <c r="C18" s="1" cm="1">
        <f t="array" ref="C18">_xlfn.IFS(Projections!AW18+Projections!BG18&lt;=0,0,AND(NOT(ISBLANK(Setup!C$10)),Projections!A18&gt;65,Projections!B18&gt;65),Projections!AW18+Projections!BG18-M$15,AND(NOT(ISBLANK(Setup!C$10)),OR(Projections!A18&gt;65,Projections!B18&gt;65)),Projections!AW18+Projections!BG18-L$15,Projections!A18&gt;65,Projections!AW18+Projections!BG18-L$15,1,Projections!AW18+Projections!BG18-K$15)</f>
        <v>0</v>
      </c>
      <c r="D18" s="1">
        <f t="shared" si="1"/>
        <v>0</v>
      </c>
      <c r="E18" s="18">
        <f t="shared" si="2"/>
        <v>0</v>
      </c>
      <c r="F18" s="1">
        <f t="shared" si="3"/>
        <v>0</v>
      </c>
      <c r="H18" s="1"/>
      <c r="I18" s="105"/>
      <c r="J18" s="126" t="s">
        <v>182</v>
      </c>
      <c r="K18" s="246"/>
      <c r="N18" s="137"/>
      <c r="O18" s="137"/>
      <c r="P18" s="126"/>
      <c r="Q18" s="126"/>
      <c r="R18" s="48"/>
      <c r="S18" s="48"/>
      <c r="T18" s="48"/>
      <c r="U18" s="130"/>
    </row>
    <row r="19" spans="1:21" x14ac:dyDescent="0.3">
      <c r="A19" s="1">
        <f t="shared" si="0"/>
        <v>0</v>
      </c>
      <c r="C19" s="1" cm="1">
        <f t="array" ref="C19">_xlfn.IFS(Projections!AW19+Projections!BG19&lt;=0,0,AND(NOT(ISBLANK(Setup!C$10)),Projections!A19&gt;65,Projections!B19&gt;65),Projections!AW19+Projections!BG19-M$15,AND(NOT(ISBLANK(Setup!C$10)),OR(Projections!A19&gt;65,Projections!B19&gt;65)),Projections!AW19+Projections!BG19-L$15,Projections!A19&gt;65,Projections!AW19+Projections!BG19-L$15,1,Projections!AW19+Projections!BG19-K$15)</f>
        <v>0</v>
      </c>
      <c r="D19" s="1">
        <f t="shared" si="1"/>
        <v>0</v>
      </c>
      <c r="E19" s="18">
        <f t="shared" si="2"/>
        <v>0</v>
      </c>
      <c r="F19" s="1">
        <f t="shared" si="3"/>
        <v>0</v>
      </c>
      <c r="H19" s="1"/>
      <c r="I19" s="105"/>
      <c r="J19" s="57"/>
      <c r="K19" s="342">
        <v>0.05</v>
      </c>
      <c r="L19" s="137"/>
      <c r="M19" s="137"/>
      <c r="N19" s="137"/>
      <c r="O19" s="137"/>
      <c r="P19" s="126"/>
      <c r="Q19" s="126"/>
      <c r="R19" s="48"/>
      <c r="S19" s="48"/>
      <c r="T19" s="48"/>
      <c r="U19" s="130"/>
    </row>
    <row r="20" spans="1:21" x14ac:dyDescent="0.3">
      <c r="A20" s="1">
        <f t="shared" si="0"/>
        <v>0</v>
      </c>
      <c r="C20" s="1" cm="1">
        <f t="array" ref="C20">_xlfn.IFS(Projections!AW20+Projections!BG20&lt;=0,0,AND(NOT(ISBLANK(Setup!C$10)),Projections!A20&gt;65,Projections!B20&gt;65),Projections!AW20+Projections!BG20-M$15,AND(NOT(ISBLANK(Setup!C$10)),OR(Projections!A20&gt;65,Projections!B20&gt;65)),Projections!AW20+Projections!BG20-L$15,Projections!A20&gt;65,Projections!AW20+Projections!BG20-L$15,1,Projections!AW20+Projections!BG20-K$15)</f>
        <v>0</v>
      </c>
      <c r="D20" s="1">
        <f t="shared" si="1"/>
        <v>0</v>
      </c>
      <c r="E20" s="18">
        <f t="shared" si="2"/>
        <v>0</v>
      </c>
      <c r="F20" s="1">
        <f t="shared" si="3"/>
        <v>0</v>
      </c>
      <c r="H20" s="1"/>
      <c r="I20" s="105"/>
      <c r="J20" s="57"/>
      <c r="K20" s="137"/>
      <c r="L20" s="137"/>
      <c r="M20" s="137"/>
      <c r="N20" s="137"/>
      <c r="O20" s="137"/>
      <c r="P20" s="247"/>
      <c r="Q20" s="247"/>
      <c r="R20" s="87"/>
      <c r="S20" s="87"/>
      <c r="T20" s="87"/>
      <c r="U20" s="130"/>
    </row>
    <row r="21" spans="1:21" x14ac:dyDescent="0.3">
      <c r="A21" s="1">
        <f t="shared" si="0"/>
        <v>0</v>
      </c>
      <c r="C21" s="1" cm="1">
        <f t="array" ref="C21">_xlfn.IFS(Projections!AW21+Projections!BG21&lt;=0,0,AND(NOT(ISBLANK(Setup!C$10)),Projections!A21&gt;65,Projections!B21&gt;65),Projections!AW21+Projections!BG21-M$15,AND(NOT(ISBLANK(Setup!C$10)),OR(Projections!A21&gt;65,Projections!B21&gt;65)),Projections!AW21+Projections!BG21-L$15,Projections!A21&gt;65,Projections!AW21+Projections!BG21-L$15,1,Projections!AW21+Projections!BG21-K$15)</f>
        <v>0</v>
      </c>
      <c r="D21" s="1">
        <f t="shared" si="1"/>
        <v>0</v>
      </c>
      <c r="E21" s="18">
        <f t="shared" si="2"/>
        <v>0</v>
      </c>
      <c r="F21" s="1">
        <f t="shared" si="3"/>
        <v>0</v>
      </c>
      <c r="H21" s="1"/>
      <c r="I21" s="105"/>
      <c r="J21" s="85"/>
      <c r="K21" s="86"/>
      <c r="L21" s="87"/>
      <c r="M21" s="88"/>
      <c r="N21" s="88"/>
      <c r="O21" s="88"/>
      <c r="P21" s="88"/>
      <c r="Q21" s="48"/>
      <c r="R21" s="48"/>
      <c r="S21" s="48"/>
      <c r="T21" s="48"/>
      <c r="U21" s="130"/>
    </row>
    <row r="22" spans="1:21" x14ac:dyDescent="0.3">
      <c r="A22" s="1">
        <f t="shared" si="0"/>
        <v>0</v>
      </c>
      <c r="C22" s="1" cm="1">
        <f t="array" ref="C22">_xlfn.IFS(Projections!AW22+Projections!BG22&lt;=0,0,AND(NOT(ISBLANK(Setup!C$10)),Projections!A22&gt;65,Projections!B22&gt;65),Projections!AW22+Projections!BG22-M$15,AND(NOT(ISBLANK(Setup!C$10)),OR(Projections!A22&gt;65,Projections!B22&gt;65)),Projections!AW22+Projections!BG22-L$15,Projections!A22&gt;65,Projections!AW22+Projections!BG22-L$15,1,Projections!AW22+Projections!BG22-K$15)</f>
        <v>0</v>
      </c>
      <c r="D22" s="1">
        <f t="shared" si="1"/>
        <v>0</v>
      </c>
      <c r="E22" s="18">
        <f t="shared" si="2"/>
        <v>0</v>
      </c>
      <c r="F22" s="1">
        <f t="shared" si="3"/>
        <v>0</v>
      </c>
      <c r="H22" s="1"/>
      <c r="I22" s="105"/>
      <c r="L22" s="87"/>
      <c r="M22" s="88"/>
      <c r="N22" s="88"/>
      <c r="O22" s="88"/>
      <c r="P22" s="88"/>
      <c r="Q22" s="48"/>
      <c r="R22" s="48"/>
      <c r="S22" s="48"/>
      <c r="T22" s="48"/>
      <c r="U22" s="130"/>
    </row>
    <row r="23" spans="1:21" x14ac:dyDescent="0.3">
      <c r="A23" s="1">
        <f t="shared" si="0"/>
        <v>0</v>
      </c>
      <c r="C23" s="1" cm="1">
        <f t="array" ref="C23">_xlfn.IFS(Projections!AW23+Projections!BG23&lt;=0,0,AND(NOT(ISBLANK(Setup!C$10)),Projections!A23&gt;65,Projections!B23&gt;65),Projections!AW23+Projections!BG23-M$15,AND(NOT(ISBLANK(Setup!C$10)),OR(Projections!A23&gt;65,Projections!B23&gt;65)),Projections!AW23+Projections!BG23-L$15,Projections!A23&gt;65,Projections!AW23+Projections!BG23-L$15,1,Projections!AW23+Projections!BG23-K$15)</f>
        <v>0</v>
      </c>
      <c r="D23" s="1">
        <f t="shared" si="1"/>
        <v>0</v>
      </c>
      <c r="E23" s="18">
        <f t="shared" si="2"/>
        <v>0</v>
      </c>
      <c r="F23" s="1">
        <f t="shared" si="3"/>
        <v>0</v>
      </c>
      <c r="H23" s="1"/>
      <c r="I23" s="105"/>
      <c r="L23" s="87"/>
      <c r="M23" s="88"/>
      <c r="N23" s="88"/>
      <c r="O23" s="88"/>
      <c r="P23" s="88"/>
      <c r="Q23" s="48"/>
      <c r="R23" s="48"/>
      <c r="S23" s="48"/>
      <c r="T23" s="48"/>
      <c r="U23" s="130"/>
    </row>
    <row r="24" spans="1:21" x14ac:dyDescent="0.3">
      <c r="A24" s="1">
        <f t="shared" si="0"/>
        <v>0</v>
      </c>
      <c r="C24" s="1" cm="1">
        <f t="array" ref="C24">_xlfn.IFS(Projections!AW24+Projections!BG24&lt;=0,0,AND(NOT(ISBLANK(Setup!C$10)),Projections!A24&gt;65,Projections!B24&gt;65),Projections!AW24+Projections!BG24-M$15,AND(NOT(ISBLANK(Setup!C$10)),OR(Projections!A24&gt;65,Projections!B24&gt;65)),Projections!AW24+Projections!BG24-L$15,Projections!A24&gt;65,Projections!AW24+Projections!BG24-L$15,1,Projections!AW24+Projections!BG24-K$15)</f>
        <v>0</v>
      </c>
      <c r="D24" s="1">
        <f t="shared" si="1"/>
        <v>0</v>
      </c>
      <c r="E24" s="18">
        <f t="shared" si="2"/>
        <v>0</v>
      </c>
      <c r="F24" s="1">
        <f t="shared" si="3"/>
        <v>0</v>
      </c>
      <c r="H24" s="1"/>
      <c r="I24" s="105"/>
      <c r="L24" s="87"/>
      <c r="M24" s="88"/>
      <c r="N24" s="88"/>
      <c r="O24" s="88"/>
      <c r="P24" s="88"/>
      <c r="Q24" s="48"/>
      <c r="R24" s="48"/>
      <c r="S24" s="48"/>
      <c r="T24" s="48"/>
      <c r="U24" s="130"/>
    </row>
    <row r="25" spans="1:21" x14ac:dyDescent="0.3">
      <c r="A25" s="1">
        <f t="shared" si="0"/>
        <v>0</v>
      </c>
      <c r="C25" s="1" cm="1">
        <f t="array" ref="C25">_xlfn.IFS(Projections!AW25+Projections!BG25&lt;=0,0,AND(NOT(ISBLANK(Setup!C$10)),Projections!A25&gt;65,Projections!B25&gt;65),Projections!AW25+Projections!BG25-M$15,AND(NOT(ISBLANK(Setup!C$10)),OR(Projections!A25&gt;65,Projections!B25&gt;65)),Projections!AW25+Projections!BG25-L$15,Projections!A25&gt;65,Projections!AW25+Projections!BG25-L$15,1,Projections!AW25+Projections!BG25-K$15)</f>
        <v>0</v>
      </c>
      <c r="D25" s="1">
        <f t="shared" si="1"/>
        <v>0</v>
      </c>
      <c r="E25" s="18">
        <f t="shared" si="2"/>
        <v>0</v>
      </c>
      <c r="F25" s="1">
        <f t="shared" si="3"/>
        <v>0</v>
      </c>
      <c r="H25" s="1"/>
      <c r="I25" s="105"/>
      <c r="K25" s="137"/>
      <c r="L25" s="87"/>
      <c r="M25" s="88"/>
      <c r="N25" s="88"/>
      <c r="O25" s="88"/>
      <c r="P25" s="88"/>
      <c r="R25" s="132"/>
      <c r="S25" s="48"/>
      <c r="T25" s="48"/>
      <c r="U25" s="130"/>
    </row>
    <row r="26" spans="1:21" x14ac:dyDescent="0.3">
      <c r="A26" s="1">
        <f t="shared" si="0"/>
        <v>0</v>
      </c>
      <c r="C26" s="1" cm="1">
        <f t="array" ref="C26">_xlfn.IFS(Projections!AW26+Projections!BG26&lt;=0,0,AND(NOT(ISBLANK(Setup!C$10)),Projections!A26&gt;65,Projections!B26&gt;65),Projections!AW26+Projections!BG26-M$15,AND(NOT(ISBLANK(Setup!C$10)),OR(Projections!A26&gt;65,Projections!B26&gt;65)),Projections!AW26+Projections!BG26-L$15,Projections!A26&gt;65,Projections!AW26+Projections!BG26-L$15,1,Projections!AW26+Projections!BG26-K$15)</f>
        <v>0</v>
      </c>
      <c r="D26" s="1">
        <f t="shared" si="1"/>
        <v>0</v>
      </c>
      <c r="E26" s="18">
        <f t="shared" si="2"/>
        <v>0</v>
      </c>
      <c r="F26" s="1">
        <f t="shared" si="3"/>
        <v>0</v>
      </c>
      <c r="H26" s="1"/>
      <c r="I26" s="105"/>
      <c r="K26" s="137"/>
      <c r="L26" s="87"/>
      <c r="M26" s="88"/>
      <c r="N26" s="88"/>
      <c r="O26" s="88"/>
      <c r="P26" s="88"/>
      <c r="Q26" s="90"/>
      <c r="R26" s="132"/>
      <c r="S26" s="48"/>
      <c r="T26" s="48"/>
      <c r="U26" s="130"/>
    </row>
    <row r="27" spans="1:21" x14ac:dyDescent="0.3">
      <c r="A27" s="1">
        <f t="shared" si="0"/>
        <v>0</v>
      </c>
      <c r="C27" s="1" cm="1">
        <f t="array" ref="C27">_xlfn.IFS(Projections!AW27+Projections!BG27&lt;=0,0,AND(NOT(ISBLANK(Setup!C$10)),Projections!A27&gt;65,Projections!B27&gt;65),Projections!AW27+Projections!BG27-M$15,AND(NOT(ISBLANK(Setup!C$10)),OR(Projections!A27&gt;65,Projections!B27&gt;65)),Projections!AW27+Projections!BG27-L$15,Projections!A27&gt;65,Projections!AW27+Projections!BG27-L$15,1,Projections!AW27+Projections!BG27-K$15)</f>
        <v>0</v>
      </c>
      <c r="D27" s="1">
        <f t="shared" si="1"/>
        <v>0</v>
      </c>
      <c r="E27" s="18">
        <f t="shared" si="2"/>
        <v>0</v>
      </c>
      <c r="F27" s="1">
        <f t="shared" si="3"/>
        <v>0</v>
      </c>
      <c r="H27" s="1"/>
      <c r="I27" s="106"/>
      <c r="K27" s="86"/>
      <c r="L27" s="87"/>
      <c r="M27" s="88"/>
      <c r="N27" s="88"/>
      <c r="O27" s="88"/>
      <c r="P27" s="88"/>
      <c r="Q27" s="90"/>
      <c r="R27" s="132"/>
      <c r="S27" s="48"/>
      <c r="T27" s="48"/>
      <c r="U27" s="130"/>
    </row>
    <row r="28" spans="1:21" x14ac:dyDescent="0.3">
      <c r="A28" s="1">
        <f t="shared" si="0"/>
        <v>0</v>
      </c>
      <c r="C28" s="1" cm="1">
        <f t="array" ref="C28">_xlfn.IFS(Projections!AW28+Projections!BG28&lt;=0,0,AND(NOT(ISBLANK(Setup!C$10)),Projections!A28&gt;65,Projections!B28&gt;65),Projections!AW28+Projections!BG28-M$15,AND(NOT(ISBLANK(Setup!C$10)),OR(Projections!A28&gt;65,Projections!B28&gt;65)),Projections!AW28+Projections!BG28-L$15,Projections!A28&gt;65,Projections!AW28+Projections!BG28-L$15,1,Projections!AW28+Projections!BG28-K$15)</f>
        <v>0</v>
      </c>
      <c r="D28" s="1">
        <f t="shared" si="1"/>
        <v>0</v>
      </c>
      <c r="E28" s="18">
        <f t="shared" si="2"/>
        <v>0</v>
      </c>
      <c r="F28" s="1">
        <f t="shared" si="3"/>
        <v>0</v>
      </c>
      <c r="H28" s="1"/>
      <c r="I28" s="251"/>
      <c r="K28" s="54"/>
      <c r="L28" s="54"/>
      <c r="M28" s="54"/>
      <c r="N28" s="54"/>
      <c r="O28" s="54"/>
      <c r="U28" s="67"/>
    </row>
    <row r="29" spans="1:21" x14ac:dyDescent="0.3">
      <c r="A29" s="1">
        <f t="shared" si="0"/>
        <v>0</v>
      </c>
      <c r="C29" s="1" cm="1">
        <f t="array" ref="C29">_xlfn.IFS(Projections!AW29+Projections!BG29&lt;=0,0,AND(NOT(ISBLANK(Setup!C$10)),Projections!A29&gt;65,Projections!B29&gt;65),Projections!AW29+Projections!BG29-M$15,AND(NOT(ISBLANK(Setup!C$10)),OR(Projections!A29&gt;65,Projections!B29&gt;65)),Projections!AW29+Projections!BG29-L$15,Projections!A29&gt;65,Projections!AW29+Projections!BG29-L$15,1,Projections!AW29+Projections!BG29-K$15)</f>
        <v>0</v>
      </c>
      <c r="D29" s="1">
        <f t="shared" si="1"/>
        <v>0</v>
      </c>
      <c r="E29" s="18">
        <f t="shared" si="2"/>
        <v>0</v>
      </c>
      <c r="F29" s="1">
        <f t="shared" si="3"/>
        <v>0</v>
      </c>
      <c r="H29" s="1"/>
      <c r="I29" s="251"/>
      <c r="J29" s="252"/>
      <c r="K29" s="137"/>
      <c r="L29" s="247"/>
      <c r="M29" s="126"/>
      <c r="N29" s="126"/>
      <c r="O29" s="126"/>
      <c r="P29" s="88"/>
      <c r="Q29" s="90"/>
      <c r="R29" s="132"/>
      <c r="S29" s="48"/>
      <c r="T29" s="48"/>
      <c r="U29" s="130"/>
    </row>
    <row r="30" spans="1:21" x14ac:dyDescent="0.3">
      <c r="A30" s="1">
        <f t="shared" si="0"/>
        <v>0</v>
      </c>
      <c r="C30" s="1" cm="1">
        <f t="array" ref="C30">_xlfn.IFS(Projections!AW30+Projections!BG30&lt;=0,0,AND(NOT(ISBLANK(Setup!C$10)),Projections!A30&gt;65,Projections!B30&gt;65),Projections!AW30+Projections!BG30-M$15,AND(NOT(ISBLANK(Setup!C$10)),OR(Projections!A30&gt;65,Projections!B30&gt;65)),Projections!AW30+Projections!BG30-L$15,Projections!A30&gt;65,Projections!AW30+Projections!BG30-L$15,1,Projections!AW30+Projections!BG30-K$15)</f>
        <v>0</v>
      </c>
      <c r="D30" s="1">
        <f t="shared" si="1"/>
        <v>0</v>
      </c>
      <c r="E30" s="18">
        <f t="shared" si="2"/>
        <v>0</v>
      </c>
      <c r="F30" s="1">
        <f t="shared" si="3"/>
        <v>0</v>
      </c>
      <c r="H30" s="1"/>
      <c r="I30" s="251"/>
      <c r="J30" s="54"/>
      <c r="K30" s="54"/>
      <c r="L30" s="54"/>
      <c r="M30" s="54"/>
      <c r="N30" s="54"/>
      <c r="O30" s="54"/>
      <c r="U30" s="67"/>
    </row>
    <row r="31" spans="1:21" x14ac:dyDescent="0.3">
      <c r="A31" s="1">
        <f t="shared" si="0"/>
        <v>0</v>
      </c>
      <c r="C31" s="1" cm="1">
        <f t="array" ref="C31">_xlfn.IFS(Projections!AW31+Projections!BG31&lt;=0,0,AND(NOT(ISBLANK(Setup!C$10)),Projections!A31&gt;65,Projections!B31&gt;65),Projections!AW31+Projections!BG31-M$15,AND(NOT(ISBLANK(Setup!C$10)),OR(Projections!A31&gt;65,Projections!B31&gt;65)),Projections!AW31+Projections!BG31-L$15,Projections!A31&gt;65,Projections!AW31+Projections!BG31-L$15,1,Projections!AW31+Projections!BG31-K$15)</f>
        <v>0</v>
      </c>
      <c r="D31" s="1">
        <f t="shared" si="1"/>
        <v>0</v>
      </c>
      <c r="E31" s="18">
        <f t="shared" si="2"/>
        <v>0</v>
      </c>
      <c r="F31" s="1">
        <f t="shared" si="3"/>
        <v>0</v>
      </c>
      <c r="H31" s="1"/>
      <c r="I31" s="251"/>
      <c r="J31" s="57"/>
      <c r="K31" s="137"/>
      <c r="L31" s="54"/>
      <c r="M31" s="54"/>
      <c r="N31" s="54"/>
      <c r="O31" s="54"/>
      <c r="U31" s="67"/>
    </row>
    <row r="32" spans="1:21" x14ac:dyDescent="0.3">
      <c r="A32" s="1">
        <f t="shared" si="0"/>
        <v>0</v>
      </c>
      <c r="C32" s="1" cm="1">
        <f t="array" ref="C32">_xlfn.IFS(Projections!AW32+Projections!BG32&lt;=0,0,AND(NOT(ISBLANK(Setup!C$10)),Projections!A32&gt;65,Projections!B32&gt;65),Projections!AW32+Projections!BG32-M$15,AND(NOT(ISBLANK(Setup!C$10)),OR(Projections!A32&gt;65,Projections!B32&gt;65)),Projections!AW32+Projections!BG32-L$15,Projections!A32&gt;65,Projections!AW32+Projections!BG32-L$15,1,Projections!AW32+Projections!BG32-K$15)</f>
        <v>0</v>
      </c>
      <c r="D32" s="1">
        <f t="shared" si="1"/>
        <v>0</v>
      </c>
      <c r="E32" s="18">
        <f t="shared" si="2"/>
        <v>0</v>
      </c>
      <c r="F32" s="1">
        <f t="shared" si="3"/>
        <v>0</v>
      </c>
      <c r="H32" s="1"/>
      <c r="I32" s="251"/>
      <c r="J32" s="57"/>
      <c r="K32" s="137"/>
      <c r="L32" s="54"/>
      <c r="M32" s="54"/>
      <c r="N32" s="54"/>
      <c r="O32" s="54"/>
      <c r="U32" s="67"/>
    </row>
    <row r="33" spans="1:21" x14ac:dyDescent="0.3">
      <c r="A33" s="1">
        <f t="shared" si="0"/>
        <v>0</v>
      </c>
      <c r="C33" s="1" cm="1">
        <f t="array" ref="C33">_xlfn.IFS(Projections!AW33+Projections!BG33&lt;=0,0,AND(NOT(ISBLANK(Setup!C$10)),Projections!A33&gt;65,Projections!B33&gt;65),Projections!AW33+Projections!BG33-M$15,AND(NOT(ISBLANK(Setup!C$10)),OR(Projections!A33&gt;65,Projections!B33&gt;65)),Projections!AW33+Projections!BG33-L$15,Projections!A33&gt;65,Projections!AW33+Projections!BG33-L$15,1,Projections!AW33+Projections!BG33-K$15)</f>
        <v>0</v>
      </c>
      <c r="D33" s="1">
        <f t="shared" si="1"/>
        <v>0</v>
      </c>
      <c r="E33" s="18">
        <f t="shared" si="2"/>
        <v>0</v>
      </c>
      <c r="F33" s="1">
        <f t="shared" si="3"/>
        <v>0</v>
      </c>
      <c r="H33" s="1"/>
      <c r="I33" s="251"/>
      <c r="J33" s="57"/>
      <c r="K33" s="137"/>
      <c r="L33" s="54"/>
      <c r="M33" s="54"/>
      <c r="N33" s="54"/>
      <c r="O33" s="54"/>
      <c r="U33" s="67"/>
    </row>
    <row r="34" spans="1:21" x14ac:dyDescent="0.3">
      <c r="A34" s="1">
        <f t="shared" si="0"/>
        <v>0</v>
      </c>
      <c r="C34" s="1" cm="1">
        <f t="array" ref="C34">_xlfn.IFS(Projections!AW34+Projections!BG34&lt;=0,0,AND(NOT(ISBLANK(Setup!C$10)),Projections!A34&gt;65,Projections!B34&gt;65),Projections!AW34+Projections!BG34-M$15,AND(NOT(ISBLANK(Setup!C$10)),OR(Projections!A34&gt;65,Projections!B34&gt;65)),Projections!AW34+Projections!BG34-L$15,Projections!A34&gt;65,Projections!AW34+Projections!BG34-L$15,1,Projections!AW34+Projections!BG34-K$15)</f>
        <v>0</v>
      </c>
      <c r="D34" s="1">
        <f t="shared" si="1"/>
        <v>0</v>
      </c>
      <c r="E34" s="18">
        <f t="shared" si="2"/>
        <v>0</v>
      </c>
      <c r="F34" s="1">
        <f t="shared" si="3"/>
        <v>0</v>
      </c>
      <c r="H34" s="1"/>
      <c r="I34" s="251"/>
      <c r="J34" s="57"/>
      <c r="K34" s="137"/>
      <c r="L34" s="54"/>
      <c r="M34" s="54"/>
      <c r="N34" s="54"/>
      <c r="O34" s="54"/>
      <c r="U34" s="67"/>
    </row>
    <row r="35" spans="1:21" x14ac:dyDescent="0.3">
      <c r="A35" s="1">
        <f t="shared" si="0"/>
        <v>0</v>
      </c>
      <c r="C35" s="1" cm="1">
        <f t="array" ref="C35">_xlfn.IFS(Projections!AW35+Projections!BG35&lt;=0,0,AND(NOT(ISBLANK(Setup!C$10)),Projections!A35&gt;65,Projections!B35&gt;65),Projections!AW35+Projections!BG35-M$15,AND(NOT(ISBLANK(Setup!C$10)),OR(Projections!A35&gt;65,Projections!B35&gt;65)),Projections!AW35+Projections!BG35-L$15,Projections!A35&gt;65,Projections!AW35+Projections!BG35-L$15,1,Projections!AW35+Projections!BG35-K$15)</f>
        <v>0</v>
      </c>
      <c r="D35" s="1">
        <f t="shared" si="1"/>
        <v>0</v>
      </c>
      <c r="E35" s="18">
        <f t="shared" si="2"/>
        <v>0</v>
      </c>
      <c r="F35" s="1">
        <f t="shared" si="3"/>
        <v>0</v>
      </c>
      <c r="H35" s="1"/>
      <c r="I35" s="251"/>
      <c r="J35" s="248"/>
      <c r="K35" s="246"/>
      <c r="L35" s="247"/>
      <c r="M35" s="126"/>
      <c r="N35" s="126"/>
      <c r="O35" s="126"/>
      <c r="P35" s="88"/>
      <c r="Q35" s="48"/>
      <c r="R35" s="48"/>
      <c r="S35" s="48"/>
      <c r="T35" s="48"/>
      <c r="U35" s="130"/>
    </row>
    <row r="36" spans="1:21" x14ac:dyDescent="0.3">
      <c r="A36" s="1">
        <f t="shared" si="0"/>
        <v>0</v>
      </c>
      <c r="C36" s="1" cm="1">
        <f t="array" ref="C36">_xlfn.IFS(Projections!AW36+Projections!BG36&lt;=0,0,AND(NOT(ISBLANK(Setup!C$10)),Projections!A36&gt;65,Projections!B36&gt;65),Projections!AW36+Projections!BG36-M$15,AND(NOT(ISBLANK(Setup!C$10)),OR(Projections!A36&gt;65,Projections!B36&gt;65)),Projections!AW36+Projections!BG36-L$15,Projections!A36&gt;65,Projections!AW36+Projections!BG36-L$15,1,Projections!AW36+Projections!BG36-K$15)</f>
        <v>0</v>
      </c>
      <c r="D36" s="1">
        <f t="shared" si="1"/>
        <v>0</v>
      </c>
      <c r="E36" s="18">
        <f t="shared" si="2"/>
        <v>0</v>
      </c>
      <c r="F36" s="1">
        <f t="shared" si="3"/>
        <v>0</v>
      </c>
      <c r="H36" s="1"/>
      <c r="I36" s="251"/>
      <c r="J36" s="248"/>
      <c r="K36" s="246"/>
      <c r="L36" s="247"/>
      <c r="M36" s="126"/>
      <c r="N36" s="126"/>
      <c r="O36" s="126"/>
      <c r="P36" s="88"/>
      <c r="Q36" s="48"/>
      <c r="R36" s="48"/>
      <c r="S36" s="48"/>
      <c r="T36" s="48"/>
      <c r="U36" s="130"/>
    </row>
    <row r="37" spans="1:21" x14ac:dyDescent="0.3">
      <c r="A37" s="1">
        <f t="shared" si="0"/>
        <v>0</v>
      </c>
      <c r="C37" s="1" cm="1">
        <f t="array" ref="C37">_xlfn.IFS(Projections!AW37+Projections!BG37&lt;=0,0,AND(NOT(ISBLANK(Setup!C$10)),Projections!A37&gt;65,Projections!B37&gt;65),Projections!AW37+Projections!BG37-M$15,AND(NOT(ISBLANK(Setup!C$10)),OR(Projections!A37&gt;65,Projections!B37&gt;65)),Projections!AW37+Projections!BG37-L$15,Projections!A37&gt;65,Projections!AW37+Projections!BG37-L$15,1,Projections!AW37+Projections!BG37-K$15)</f>
        <v>0</v>
      </c>
      <c r="D37" s="1">
        <f t="shared" si="1"/>
        <v>0</v>
      </c>
      <c r="E37" s="18">
        <f t="shared" si="2"/>
        <v>0</v>
      </c>
      <c r="F37" s="1">
        <f t="shared" si="3"/>
        <v>0</v>
      </c>
      <c r="H37" s="1"/>
      <c r="I37" s="251"/>
      <c r="J37" s="248"/>
      <c r="K37" s="253"/>
      <c r="L37" s="253"/>
      <c r="M37" s="253"/>
      <c r="N37" s="253"/>
      <c r="O37" s="249"/>
      <c r="P37" s="88"/>
      <c r="Q37" s="48"/>
      <c r="R37" s="48"/>
      <c r="S37" s="48"/>
      <c r="T37" s="48"/>
      <c r="U37" s="130"/>
    </row>
    <row r="38" spans="1:21" x14ac:dyDescent="0.3">
      <c r="A38" s="1">
        <f t="shared" si="0"/>
        <v>0</v>
      </c>
      <c r="C38" s="1" cm="1">
        <f t="array" ref="C38">_xlfn.IFS(Projections!AW38+Projections!BG38&lt;=0,0,AND(NOT(ISBLANK(Setup!C$10)),Projections!A38&gt;65,Projections!B38&gt;65),Projections!AW38+Projections!BG38-M$15,AND(NOT(ISBLANK(Setup!C$10)),OR(Projections!A38&gt;65,Projections!B38&gt;65)),Projections!AW38+Projections!BG38-L$15,Projections!A38&gt;65,Projections!AW38+Projections!BG38-L$15,1,Projections!AW38+Projections!BG38-K$15)</f>
        <v>0</v>
      </c>
      <c r="D38" s="1">
        <f t="shared" si="1"/>
        <v>0</v>
      </c>
      <c r="E38" s="18">
        <f t="shared" si="2"/>
        <v>0</v>
      </c>
      <c r="F38" s="1">
        <f t="shared" si="3"/>
        <v>0</v>
      </c>
      <c r="H38" s="1"/>
      <c r="I38" s="251"/>
      <c r="J38" s="57"/>
      <c r="K38" s="138"/>
      <c r="L38" s="139"/>
      <c r="M38" s="139"/>
      <c r="N38" s="126"/>
      <c r="O38" s="126"/>
      <c r="P38" s="88"/>
      <c r="Q38" s="48"/>
      <c r="R38" s="48"/>
      <c r="S38" s="48"/>
      <c r="T38" s="48"/>
      <c r="U38" s="130"/>
    </row>
    <row r="39" spans="1:21" x14ac:dyDescent="0.3">
      <c r="A39" s="1">
        <f t="shared" si="0"/>
        <v>0</v>
      </c>
      <c r="C39" s="1" cm="1">
        <f t="array" ref="C39">_xlfn.IFS(Projections!AW39+Projections!BG39&lt;=0,0,AND(NOT(ISBLANK(Setup!C$10)),Projections!A39&gt;65,Projections!B39&gt;65),Projections!AW39+Projections!BG39-M$15,AND(NOT(ISBLANK(Setup!C$10)),OR(Projections!A39&gt;65,Projections!B39&gt;65)),Projections!AW39+Projections!BG39-L$15,Projections!A39&gt;65,Projections!AW39+Projections!BG39-L$15,1,Projections!AW39+Projections!BG39-K$15)</f>
        <v>0</v>
      </c>
      <c r="D39" s="1">
        <f t="shared" ref="D39:D70" si="4">-C39*K$19</f>
        <v>0</v>
      </c>
      <c r="E39" s="18">
        <f t="shared" ref="E39:E70" si="5">IF(C39=0,0,-D39/C39)</f>
        <v>0</v>
      </c>
      <c r="F39" s="1">
        <f t="shared" ref="F39:F70" si="6">IF(C39=0,0,(D39*E39^2)+(D39*E39^3)+(D39*E39^4)+(D39*E39^5)+(D39*E39^6)+(D39*E39^7)+(D39*E39^8)+(D39*E39^9)+(D39*E39^10))</f>
        <v>0</v>
      </c>
      <c r="H39" s="1"/>
      <c r="I39" s="251"/>
      <c r="J39" s="57"/>
      <c r="K39" s="138"/>
      <c r="L39" s="139"/>
      <c r="M39" s="139"/>
      <c r="N39" s="126"/>
      <c r="O39" s="126"/>
      <c r="P39" s="88"/>
      <c r="Q39" s="48"/>
      <c r="R39" s="48"/>
      <c r="S39" s="48"/>
      <c r="T39" s="48"/>
      <c r="U39" s="130"/>
    </row>
    <row r="40" spans="1:21" x14ac:dyDescent="0.3">
      <c r="A40" s="1">
        <f t="shared" si="0"/>
        <v>0</v>
      </c>
      <c r="C40" s="1" cm="1">
        <f t="array" ref="C40">_xlfn.IFS(Projections!AW40+Projections!BG40&lt;=0,0,AND(NOT(ISBLANK(Setup!C$10)),Projections!A40&gt;65,Projections!B40&gt;65),Projections!AW40+Projections!BG40-M$15,AND(NOT(ISBLANK(Setup!C$10)),OR(Projections!A40&gt;65,Projections!B40&gt;65)),Projections!AW40+Projections!BG40-L$15,Projections!A40&gt;65,Projections!AW40+Projections!BG40-L$15,1,Projections!AW40+Projections!BG40-K$15)</f>
        <v>0</v>
      </c>
      <c r="D40" s="1">
        <f t="shared" si="4"/>
        <v>0</v>
      </c>
      <c r="E40" s="18">
        <f t="shared" si="5"/>
        <v>0</v>
      </c>
      <c r="F40" s="1">
        <f t="shared" si="6"/>
        <v>0</v>
      </c>
      <c r="H40" s="1"/>
      <c r="I40" s="251"/>
      <c r="J40" s="57"/>
      <c r="K40" s="138"/>
      <c r="L40" s="139"/>
      <c r="M40" s="139"/>
      <c r="N40" s="126"/>
      <c r="O40" s="126"/>
      <c r="P40" s="88"/>
      <c r="Q40" s="48"/>
      <c r="R40" s="48"/>
      <c r="S40" s="48"/>
      <c r="T40" s="48"/>
      <c r="U40" s="130"/>
    </row>
    <row r="41" spans="1:21" x14ac:dyDescent="0.3">
      <c r="A41" s="1">
        <f t="shared" si="0"/>
        <v>0</v>
      </c>
      <c r="C41" s="1" cm="1">
        <f t="array" ref="C41">_xlfn.IFS(Projections!AW41+Projections!BG41&lt;=0,0,AND(NOT(ISBLANK(Setup!C$10)),Projections!A41&gt;65,Projections!B41&gt;65),Projections!AW41+Projections!BG41-M$15,AND(NOT(ISBLANK(Setup!C$10)),OR(Projections!A41&gt;65,Projections!B41&gt;65)),Projections!AW41+Projections!BG41-L$15,Projections!A41&gt;65,Projections!AW41+Projections!BG41-L$15,1,Projections!AW41+Projections!BG41-K$15)</f>
        <v>0</v>
      </c>
      <c r="D41" s="1">
        <f t="shared" si="4"/>
        <v>0</v>
      </c>
      <c r="E41" s="18">
        <f t="shared" si="5"/>
        <v>0</v>
      </c>
      <c r="F41" s="1">
        <f t="shared" si="6"/>
        <v>0</v>
      </c>
      <c r="H41" s="1"/>
      <c r="I41" s="251"/>
      <c r="J41" s="57"/>
      <c r="K41" s="138"/>
      <c r="L41" s="139"/>
      <c r="M41" s="139"/>
      <c r="N41" s="126"/>
      <c r="O41" s="126"/>
      <c r="P41" s="88"/>
      <c r="Q41" s="48"/>
      <c r="R41" s="48"/>
      <c r="S41" s="48"/>
      <c r="T41" s="48"/>
      <c r="U41" s="130"/>
    </row>
    <row r="42" spans="1:21" x14ac:dyDescent="0.3">
      <c r="A42" s="1">
        <f t="shared" si="0"/>
        <v>0</v>
      </c>
      <c r="C42" s="1" cm="1">
        <f t="array" ref="C42">_xlfn.IFS(Projections!AW42+Projections!BG42&lt;=0,0,AND(NOT(ISBLANK(Setup!C$10)),Projections!A42&gt;65,Projections!B42&gt;65),Projections!AW42+Projections!BG42-M$15,AND(NOT(ISBLANK(Setup!C$10)),OR(Projections!A42&gt;65,Projections!B42&gt;65)),Projections!AW42+Projections!BG42-L$15,Projections!A42&gt;65,Projections!AW42+Projections!BG42-L$15,1,Projections!AW42+Projections!BG42-K$15)</f>
        <v>0</v>
      </c>
      <c r="D42" s="1">
        <f t="shared" si="4"/>
        <v>0</v>
      </c>
      <c r="E42" s="18">
        <f t="shared" si="5"/>
        <v>0</v>
      </c>
      <c r="F42" s="1">
        <f t="shared" si="6"/>
        <v>0</v>
      </c>
      <c r="H42" s="1"/>
      <c r="I42" s="251"/>
      <c r="J42" s="90"/>
      <c r="K42" s="237"/>
      <c r="L42" s="103"/>
      <c r="M42" s="140"/>
      <c r="N42" s="140"/>
      <c r="O42" s="126"/>
      <c r="P42" s="88"/>
      <c r="Q42" s="48"/>
      <c r="R42" s="48"/>
      <c r="S42" s="48"/>
      <c r="T42" s="48"/>
      <c r="U42" s="130"/>
    </row>
    <row r="43" spans="1:21" x14ac:dyDescent="0.3">
      <c r="A43" s="1">
        <f t="shared" si="0"/>
        <v>0</v>
      </c>
      <c r="C43" s="1" cm="1">
        <f t="array" ref="C43">_xlfn.IFS(Projections!AW43+Projections!BG43&lt;=0,0,AND(NOT(ISBLANK(Setup!C$10)),Projections!A43&gt;65,Projections!B43&gt;65),Projections!AW43+Projections!BG43-M$15,AND(NOT(ISBLANK(Setup!C$10)),OR(Projections!A43&gt;65,Projections!B43&gt;65)),Projections!AW43+Projections!BG43-L$15,Projections!A43&gt;65,Projections!AW43+Projections!BG43-L$15,1,Projections!AW43+Projections!BG43-K$15)</f>
        <v>0</v>
      </c>
      <c r="D43" s="1">
        <f t="shared" si="4"/>
        <v>0</v>
      </c>
      <c r="E43" s="18">
        <f t="shared" si="5"/>
        <v>0</v>
      </c>
      <c r="F43" s="1">
        <f t="shared" si="6"/>
        <v>0</v>
      </c>
      <c r="H43" s="1"/>
      <c r="I43" s="251"/>
      <c r="J43" s="90"/>
      <c r="K43" s="94"/>
      <c r="L43" s="140"/>
      <c r="M43" s="140"/>
      <c r="N43" s="140"/>
      <c r="O43" s="126"/>
      <c r="P43" s="88"/>
      <c r="Q43" s="48"/>
      <c r="R43" s="48"/>
      <c r="S43" s="48"/>
      <c r="T43" s="48"/>
      <c r="U43" s="130"/>
    </row>
    <row r="44" spans="1:21" x14ac:dyDescent="0.3">
      <c r="A44" s="1">
        <f t="shared" si="0"/>
        <v>0</v>
      </c>
      <c r="C44" s="1" cm="1">
        <f t="array" ref="C44">_xlfn.IFS(Projections!AW44+Projections!BG44&lt;=0,0,AND(NOT(ISBLANK(Setup!C$10)),Projections!A44&gt;65,Projections!B44&gt;65),Projections!AW44+Projections!BG44-M$15,AND(NOT(ISBLANK(Setup!C$10)),OR(Projections!A44&gt;65,Projections!B44&gt;65)),Projections!AW44+Projections!BG44-L$15,Projections!A44&gt;65,Projections!AW44+Projections!BG44-L$15,1,Projections!AW44+Projections!BG44-K$15)</f>
        <v>0</v>
      </c>
      <c r="D44" s="1">
        <f t="shared" si="4"/>
        <v>0</v>
      </c>
      <c r="E44" s="18">
        <f t="shared" si="5"/>
        <v>0</v>
      </c>
      <c r="F44" s="1">
        <f t="shared" si="6"/>
        <v>0</v>
      </c>
      <c r="H44" s="1"/>
      <c r="I44" s="251"/>
      <c r="J44" s="90"/>
      <c r="K44" s="42"/>
      <c r="L44" s="42"/>
      <c r="M44" s="42"/>
      <c r="N44" s="42"/>
      <c r="O44" s="126"/>
      <c r="P44" s="88"/>
      <c r="Q44" s="48"/>
      <c r="R44" s="48"/>
      <c r="S44" s="48"/>
      <c r="T44" s="48"/>
      <c r="U44" s="130"/>
    </row>
    <row r="45" spans="1:21" x14ac:dyDescent="0.3">
      <c r="A45" s="1">
        <f t="shared" si="0"/>
        <v>0</v>
      </c>
      <c r="C45" s="1" cm="1">
        <f t="array" ref="C45">_xlfn.IFS(Projections!AW45+Projections!BG45&lt;=0,0,AND(NOT(ISBLANK(Setup!C$10)),Projections!A45&gt;65,Projections!B45&gt;65),Projections!AW45+Projections!BG45-M$15,AND(NOT(ISBLANK(Setup!C$10)),OR(Projections!A45&gt;65,Projections!B45&gt;65)),Projections!AW45+Projections!BG45-L$15,Projections!A45&gt;65,Projections!AW45+Projections!BG45-L$15,1,Projections!AW45+Projections!BG45-K$15)</f>
        <v>0</v>
      </c>
      <c r="D45" s="1">
        <f t="shared" si="4"/>
        <v>0</v>
      </c>
      <c r="E45" s="18">
        <f t="shared" si="5"/>
        <v>0</v>
      </c>
      <c r="F45" s="1">
        <f t="shared" si="6"/>
        <v>0</v>
      </c>
      <c r="H45" s="1"/>
      <c r="I45" s="251"/>
      <c r="J45" s="90"/>
      <c r="K45" s="140"/>
      <c r="L45" s="140"/>
      <c r="M45" s="140"/>
      <c r="N45" s="238"/>
      <c r="O45" s="126"/>
      <c r="P45" s="88"/>
      <c r="Q45" s="48"/>
      <c r="R45" s="48"/>
      <c r="S45" s="48"/>
      <c r="T45" s="48"/>
      <c r="U45" s="130"/>
    </row>
    <row r="46" spans="1:21" x14ac:dyDescent="0.3">
      <c r="A46" s="1">
        <f t="shared" si="0"/>
        <v>0</v>
      </c>
      <c r="C46" s="1" cm="1">
        <f t="array" ref="C46">_xlfn.IFS(Projections!AW46+Projections!BG46&lt;=0,0,AND(NOT(ISBLANK(Setup!C$10)),Projections!A46&gt;65,Projections!B46&gt;65),Projections!AW46+Projections!BG46-M$15,AND(NOT(ISBLANK(Setup!C$10)),OR(Projections!A46&gt;65,Projections!B46&gt;65)),Projections!AW46+Projections!BG46-L$15,Projections!A46&gt;65,Projections!AW46+Projections!BG46-L$15,1,Projections!AW46+Projections!BG46-K$15)</f>
        <v>0</v>
      </c>
      <c r="D46" s="1">
        <f t="shared" si="4"/>
        <v>0</v>
      </c>
      <c r="E46" s="18">
        <f t="shared" si="5"/>
        <v>0</v>
      </c>
      <c r="F46" s="1">
        <f t="shared" si="6"/>
        <v>0</v>
      </c>
      <c r="H46" s="1"/>
      <c r="I46" s="251"/>
      <c r="J46" s="90"/>
      <c r="K46" s="140"/>
      <c r="L46" s="140"/>
      <c r="M46" s="140"/>
      <c r="N46" s="238"/>
      <c r="O46" s="126"/>
      <c r="P46" s="88"/>
      <c r="Q46" s="48"/>
      <c r="R46" s="48"/>
      <c r="S46" s="48"/>
      <c r="T46" s="48"/>
      <c r="U46" s="130"/>
    </row>
    <row r="47" spans="1:21" x14ac:dyDescent="0.3">
      <c r="A47" s="1">
        <f t="shared" si="0"/>
        <v>0</v>
      </c>
      <c r="C47" s="1" cm="1">
        <f t="array" ref="C47">_xlfn.IFS(Projections!AW47+Projections!BG47&lt;=0,0,AND(NOT(ISBLANK(Setup!C$10)),Projections!A47&gt;65,Projections!B47&gt;65),Projections!AW47+Projections!BG47-M$15,AND(NOT(ISBLANK(Setup!C$10)),OR(Projections!A47&gt;65,Projections!B47&gt;65)),Projections!AW47+Projections!BG47-L$15,Projections!A47&gt;65,Projections!AW47+Projections!BG47-L$15,1,Projections!AW47+Projections!BG47-K$15)</f>
        <v>0</v>
      </c>
      <c r="D47" s="1">
        <f t="shared" si="4"/>
        <v>0</v>
      </c>
      <c r="E47" s="18">
        <f t="shared" si="5"/>
        <v>0</v>
      </c>
      <c r="F47" s="1">
        <f t="shared" si="6"/>
        <v>0</v>
      </c>
      <c r="H47" s="1"/>
      <c r="I47" s="251"/>
      <c r="J47" s="90"/>
      <c r="K47" s="140"/>
      <c r="L47" s="140"/>
      <c r="M47" s="140"/>
      <c r="N47" s="238"/>
      <c r="O47" s="126"/>
      <c r="P47" s="88"/>
      <c r="Q47" s="48"/>
      <c r="R47" s="48"/>
      <c r="S47" s="48"/>
      <c r="T47" s="48"/>
      <c r="U47" s="130"/>
    </row>
    <row r="48" spans="1:21" x14ac:dyDescent="0.3">
      <c r="A48" s="1">
        <f t="shared" si="0"/>
        <v>0</v>
      </c>
      <c r="C48" s="1" cm="1">
        <f t="array" ref="C48">_xlfn.IFS(Projections!AW48+Projections!BG48&lt;=0,0,AND(NOT(ISBLANK(Setup!C$10)),Projections!A48&gt;65,Projections!B48&gt;65),Projections!AW48+Projections!BG48-M$15,AND(NOT(ISBLANK(Setup!C$10)),OR(Projections!A48&gt;65,Projections!B48&gt;65)),Projections!AW48+Projections!BG48-L$15,Projections!A48&gt;65,Projections!AW48+Projections!BG48-L$15,1,Projections!AW48+Projections!BG48-K$15)</f>
        <v>0</v>
      </c>
      <c r="D48" s="1">
        <f t="shared" si="4"/>
        <v>0</v>
      </c>
      <c r="E48" s="18">
        <f t="shared" si="5"/>
        <v>0</v>
      </c>
      <c r="F48" s="1">
        <f t="shared" si="6"/>
        <v>0</v>
      </c>
      <c r="H48" s="1"/>
      <c r="I48" s="251"/>
      <c r="J48" s="90"/>
      <c r="K48" s="140"/>
      <c r="L48" s="140"/>
      <c r="M48" s="140"/>
      <c r="N48" s="238"/>
      <c r="O48" s="126"/>
      <c r="P48" s="88"/>
      <c r="Q48" s="48"/>
      <c r="R48" s="48"/>
      <c r="S48" s="48"/>
      <c r="T48" s="48"/>
      <c r="U48" s="130"/>
    </row>
    <row r="49" spans="1:21" x14ac:dyDescent="0.3">
      <c r="A49" s="1">
        <f t="shared" si="0"/>
        <v>0</v>
      </c>
      <c r="C49" s="1" cm="1">
        <f t="array" ref="C49">_xlfn.IFS(Projections!AW49+Projections!BG49&lt;=0,0,AND(NOT(ISBLANK(Setup!C$10)),Projections!A49&gt;65,Projections!B49&gt;65),Projections!AW49+Projections!BG49-M$15,AND(NOT(ISBLANK(Setup!C$10)),OR(Projections!A49&gt;65,Projections!B49&gt;65)),Projections!AW49+Projections!BG49-L$15,Projections!A49&gt;65,Projections!AW49+Projections!BG49-L$15,1,Projections!AW49+Projections!BG49-K$15)</f>
        <v>0</v>
      </c>
      <c r="D49" s="1">
        <f t="shared" si="4"/>
        <v>0</v>
      </c>
      <c r="E49" s="18">
        <f t="shared" si="5"/>
        <v>0</v>
      </c>
      <c r="F49" s="1">
        <f t="shared" si="6"/>
        <v>0</v>
      </c>
      <c r="H49" s="1"/>
      <c r="I49" s="251"/>
      <c r="J49" s="90"/>
      <c r="K49" s="237"/>
      <c r="L49" s="103"/>
      <c r="M49" s="140"/>
      <c r="N49" s="140"/>
      <c r="O49" s="126"/>
      <c r="P49" s="88"/>
      <c r="Q49" s="48"/>
      <c r="R49" s="132"/>
      <c r="S49" s="48"/>
      <c r="T49" s="48"/>
      <c r="U49" s="130"/>
    </row>
    <row r="50" spans="1:21" x14ac:dyDescent="0.3">
      <c r="A50" s="1">
        <f t="shared" si="0"/>
        <v>0</v>
      </c>
      <c r="C50" s="1" cm="1">
        <f t="array" ref="C50">_xlfn.IFS(Projections!AW50+Projections!BG50&lt;=0,0,AND(NOT(ISBLANK(Setup!C$10)),Projections!A50&gt;65,Projections!B50&gt;65),Projections!AW50+Projections!BG50-M$15,AND(NOT(ISBLANK(Setup!C$10)),OR(Projections!A50&gt;65,Projections!B50&gt;65)),Projections!AW50+Projections!BG50-L$15,Projections!A50&gt;65,Projections!AW50+Projections!BG50-L$15,1,Projections!AW50+Projections!BG50-K$15)</f>
        <v>0</v>
      </c>
      <c r="D50" s="1">
        <f t="shared" si="4"/>
        <v>0</v>
      </c>
      <c r="E50" s="18">
        <f t="shared" si="5"/>
        <v>0</v>
      </c>
      <c r="F50" s="1">
        <f t="shared" si="6"/>
        <v>0</v>
      </c>
      <c r="H50" s="1"/>
      <c r="I50" s="251"/>
      <c r="J50" s="90"/>
      <c r="K50" s="94"/>
      <c r="L50" s="140"/>
      <c r="M50" s="140"/>
      <c r="N50" s="140"/>
      <c r="O50" s="126"/>
      <c r="P50" s="88"/>
      <c r="Q50" s="48"/>
      <c r="S50" s="48"/>
      <c r="T50" s="48"/>
      <c r="U50" s="130"/>
    </row>
    <row r="51" spans="1:21" x14ac:dyDescent="0.3">
      <c r="A51" s="1">
        <f t="shared" si="0"/>
        <v>0</v>
      </c>
      <c r="C51" s="1" cm="1">
        <f t="array" ref="C51">_xlfn.IFS(Projections!AW51+Projections!BG51&lt;=0,0,AND(NOT(ISBLANK(Setup!C$10)),Projections!A51&gt;65,Projections!B51&gt;65),Projections!AW51+Projections!BG51-M$15,AND(NOT(ISBLANK(Setup!C$10)),OR(Projections!A51&gt;65,Projections!B51&gt;65)),Projections!AW51+Projections!BG51-L$15,Projections!A51&gt;65,Projections!AW51+Projections!BG51-L$15,1,Projections!AW51+Projections!BG51-K$15)</f>
        <v>0</v>
      </c>
      <c r="D51" s="1">
        <f t="shared" si="4"/>
        <v>0</v>
      </c>
      <c r="E51" s="18">
        <f t="shared" si="5"/>
        <v>0</v>
      </c>
      <c r="F51" s="1">
        <f t="shared" si="6"/>
        <v>0</v>
      </c>
      <c r="H51" s="1"/>
      <c r="I51" s="251"/>
      <c r="J51" s="90"/>
      <c r="K51" s="42"/>
      <c r="L51" s="42"/>
      <c r="M51" s="42"/>
      <c r="N51" s="42"/>
      <c r="O51" s="126"/>
      <c r="P51" s="88"/>
      <c r="Q51" s="48"/>
      <c r="R51" s="133"/>
      <c r="S51" s="48"/>
      <c r="T51" s="48"/>
      <c r="U51" s="130"/>
    </row>
    <row r="52" spans="1:21" x14ac:dyDescent="0.3">
      <c r="A52" s="1">
        <f t="shared" si="0"/>
        <v>0</v>
      </c>
      <c r="C52" s="1" cm="1">
        <f t="array" ref="C52">_xlfn.IFS(Projections!AW52+Projections!BG52&lt;=0,0,AND(NOT(ISBLANK(Setup!C$10)),Projections!A52&gt;65,Projections!B52&gt;65),Projections!AW52+Projections!BG52-M$15,AND(NOT(ISBLANK(Setup!C$10)),OR(Projections!A52&gt;65,Projections!B52&gt;65)),Projections!AW52+Projections!BG52-L$15,Projections!A52&gt;65,Projections!AW52+Projections!BG52-L$15,1,Projections!AW52+Projections!BG52-K$15)</f>
        <v>0</v>
      </c>
      <c r="D52" s="1">
        <f t="shared" si="4"/>
        <v>0</v>
      </c>
      <c r="E52" s="18">
        <f t="shared" si="5"/>
        <v>0</v>
      </c>
      <c r="F52" s="1">
        <f t="shared" si="6"/>
        <v>0</v>
      </c>
      <c r="H52" s="1"/>
      <c r="I52" s="251"/>
      <c r="J52" s="90"/>
      <c r="K52" s="140"/>
      <c r="L52" s="140"/>
      <c r="M52" s="140"/>
      <c r="N52" s="238"/>
      <c r="O52" s="126"/>
      <c r="P52" s="88"/>
      <c r="Q52" s="48"/>
      <c r="R52" s="48"/>
      <c r="S52" s="48"/>
      <c r="T52" s="48"/>
      <c r="U52" s="130"/>
    </row>
    <row r="53" spans="1:21" x14ac:dyDescent="0.3">
      <c r="A53" s="1">
        <f t="shared" si="0"/>
        <v>0</v>
      </c>
      <c r="C53" s="1" cm="1">
        <f t="array" ref="C53">_xlfn.IFS(Projections!AW53+Projections!BG53&lt;=0,0,AND(NOT(ISBLANK(Setup!C$10)),Projections!A53&gt;65,Projections!B53&gt;65),Projections!AW53+Projections!BG53-M$15,AND(NOT(ISBLANK(Setup!C$10)),OR(Projections!A53&gt;65,Projections!B53&gt;65)),Projections!AW53+Projections!BG53-L$15,Projections!A53&gt;65,Projections!AW53+Projections!BG53-L$15,1,Projections!AW53+Projections!BG53-K$15)</f>
        <v>0</v>
      </c>
      <c r="D53" s="1">
        <f t="shared" si="4"/>
        <v>0</v>
      </c>
      <c r="E53" s="18">
        <f t="shared" si="5"/>
        <v>0</v>
      </c>
      <c r="F53" s="1">
        <f t="shared" si="6"/>
        <v>0</v>
      </c>
      <c r="H53" s="1"/>
      <c r="I53" s="251"/>
      <c r="J53" s="90"/>
      <c r="K53" s="140"/>
      <c r="L53" s="140"/>
      <c r="M53" s="140"/>
      <c r="N53" s="238"/>
      <c r="O53" s="126"/>
      <c r="P53" s="88"/>
      <c r="Q53" s="48"/>
      <c r="R53" s="48"/>
      <c r="S53" s="48"/>
      <c r="T53" s="48"/>
      <c r="U53" s="130"/>
    </row>
    <row r="54" spans="1:21" x14ac:dyDescent="0.3">
      <c r="A54" s="1">
        <f t="shared" si="0"/>
        <v>0</v>
      </c>
      <c r="C54" s="1" cm="1">
        <f t="array" ref="C54">_xlfn.IFS(Projections!AW54+Projections!BG54&lt;=0,0,AND(NOT(ISBLANK(Setup!C$10)),Projections!A54&gt;65,Projections!B54&gt;65),Projections!AW54+Projections!BG54-M$15,AND(NOT(ISBLANK(Setup!C$10)),OR(Projections!A54&gt;65,Projections!B54&gt;65)),Projections!AW54+Projections!BG54-L$15,Projections!A54&gt;65,Projections!AW54+Projections!BG54-L$15,1,Projections!AW54+Projections!BG54-K$15)</f>
        <v>0</v>
      </c>
      <c r="D54" s="1">
        <f t="shared" si="4"/>
        <v>0</v>
      </c>
      <c r="E54" s="18">
        <f t="shared" si="5"/>
        <v>0</v>
      </c>
      <c r="F54" s="1">
        <f t="shared" si="6"/>
        <v>0</v>
      </c>
      <c r="H54" s="1"/>
      <c r="I54" s="251"/>
      <c r="J54" s="90"/>
      <c r="K54" s="140"/>
      <c r="L54" s="140"/>
      <c r="M54" s="140"/>
      <c r="N54" s="238"/>
      <c r="O54" s="126"/>
      <c r="P54" s="88"/>
      <c r="Q54" s="48"/>
      <c r="R54" s="48"/>
      <c r="S54" s="48"/>
      <c r="T54" s="48"/>
      <c r="U54" s="130"/>
    </row>
    <row r="55" spans="1:21" x14ac:dyDescent="0.3">
      <c r="A55" s="1">
        <f t="shared" si="0"/>
        <v>0</v>
      </c>
      <c r="C55" s="1" cm="1">
        <f t="array" ref="C55">_xlfn.IFS(Projections!AW55+Projections!BG55&lt;=0,0,AND(NOT(ISBLANK(Setup!C$10)),Projections!A55&gt;65,Projections!B55&gt;65),Projections!AW55+Projections!BG55-M$15,AND(NOT(ISBLANK(Setup!C$10)),OR(Projections!A55&gt;65,Projections!B55&gt;65)),Projections!AW55+Projections!BG55-L$15,Projections!A55&gt;65,Projections!AW55+Projections!BG55-L$15,1,Projections!AW55+Projections!BG55-K$15)</f>
        <v>0</v>
      </c>
      <c r="D55" s="1">
        <f t="shared" si="4"/>
        <v>0</v>
      </c>
      <c r="E55" s="18">
        <f t="shared" si="5"/>
        <v>0</v>
      </c>
      <c r="F55" s="1">
        <f t="shared" si="6"/>
        <v>0</v>
      </c>
      <c r="H55" s="1"/>
      <c r="I55" s="251"/>
      <c r="J55" s="90"/>
      <c r="K55" s="140"/>
      <c r="L55" s="140"/>
      <c r="M55" s="140"/>
      <c r="N55" s="238"/>
      <c r="O55" s="126"/>
      <c r="P55" s="88"/>
      <c r="Q55" s="48"/>
      <c r="R55" s="48"/>
      <c r="S55" s="48"/>
      <c r="T55" s="48"/>
      <c r="U55" s="130"/>
    </row>
    <row r="56" spans="1:21" x14ac:dyDescent="0.3">
      <c r="A56" s="1">
        <f t="shared" si="0"/>
        <v>0</v>
      </c>
      <c r="C56" s="1" cm="1">
        <f t="array" ref="C56">_xlfn.IFS(Projections!AW56+Projections!BG56&lt;=0,0,AND(NOT(ISBLANK(Setup!C$10)),Projections!A56&gt;65,Projections!B56&gt;65),Projections!AW56+Projections!BG56-M$15,AND(NOT(ISBLANK(Setup!C$10)),OR(Projections!A56&gt;65,Projections!B56&gt;65)),Projections!AW56+Projections!BG56-L$15,Projections!A56&gt;65,Projections!AW56+Projections!BG56-L$15,1,Projections!AW56+Projections!BG56-K$15)</f>
        <v>0</v>
      </c>
      <c r="D56" s="1">
        <f t="shared" si="4"/>
        <v>0</v>
      </c>
      <c r="E56" s="18">
        <f t="shared" si="5"/>
        <v>0</v>
      </c>
      <c r="F56" s="1">
        <f t="shared" si="6"/>
        <v>0</v>
      </c>
      <c r="H56" s="1"/>
      <c r="I56" s="251"/>
      <c r="J56" s="90"/>
      <c r="K56" s="237"/>
      <c r="L56" s="103"/>
      <c r="M56" s="140"/>
      <c r="N56" s="140"/>
      <c r="O56" s="126"/>
      <c r="P56" s="88"/>
      <c r="Q56" s="48"/>
      <c r="R56" s="48"/>
      <c r="S56" s="48"/>
      <c r="T56" s="48"/>
      <c r="U56" s="130"/>
    </row>
    <row r="57" spans="1:21" x14ac:dyDescent="0.3">
      <c r="A57" s="1">
        <f t="shared" si="0"/>
        <v>0</v>
      </c>
      <c r="C57" s="1" cm="1">
        <f t="array" ref="C57">_xlfn.IFS(Projections!AW57+Projections!BG57&lt;=0,0,AND(NOT(ISBLANK(Setup!C$10)),Projections!A57&gt;65,Projections!B57&gt;65),Projections!AW57+Projections!BG57-M$15,AND(NOT(ISBLANK(Setup!C$10)),OR(Projections!A57&gt;65,Projections!B57&gt;65)),Projections!AW57+Projections!BG57-L$15,Projections!A57&gt;65,Projections!AW57+Projections!BG57-L$15,1,Projections!AW57+Projections!BG57-K$15)</f>
        <v>0</v>
      </c>
      <c r="D57" s="1">
        <f t="shared" si="4"/>
        <v>0</v>
      </c>
      <c r="E57" s="18">
        <f t="shared" si="5"/>
        <v>0</v>
      </c>
      <c r="F57" s="1">
        <f t="shared" si="6"/>
        <v>0</v>
      </c>
      <c r="H57" s="1"/>
      <c r="I57" s="251"/>
      <c r="J57" s="90"/>
      <c r="K57" s="94"/>
      <c r="L57" s="140"/>
      <c r="M57" s="140"/>
      <c r="N57" s="140"/>
      <c r="O57" s="126"/>
      <c r="P57" s="88"/>
      <c r="Q57" s="48"/>
      <c r="R57" s="48"/>
      <c r="S57" s="48"/>
      <c r="T57" s="48"/>
      <c r="U57" s="130"/>
    </row>
    <row r="58" spans="1:21" x14ac:dyDescent="0.3">
      <c r="A58" s="1">
        <f t="shared" si="0"/>
        <v>0</v>
      </c>
      <c r="C58" s="1" cm="1">
        <f t="array" ref="C58">_xlfn.IFS(Projections!AW58+Projections!BG58&lt;=0,0,AND(NOT(ISBLANK(Setup!C$10)),Projections!A58&gt;65,Projections!B58&gt;65),Projections!AW58+Projections!BG58-M$15,AND(NOT(ISBLANK(Setup!C$10)),OR(Projections!A58&gt;65,Projections!B58&gt;65)),Projections!AW58+Projections!BG58-L$15,Projections!A58&gt;65,Projections!AW58+Projections!BG58-L$15,1,Projections!AW58+Projections!BG58-K$15)</f>
        <v>0</v>
      </c>
      <c r="D58" s="1">
        <f t="shared" si="4"/>
        <v>0</v>
      </c>
      <c r="E58" s="18">
        <f t="shared" si="5"/>
        <v>0</v>
      </c>
      <c r="F58" s="1">
        <f t="shared" si="6"/>
        <v>0</v>
      </c>
      <c r="H58" s="1"/>
      <c r="I58" s="251"/>
      <c r="J58" s="90"/>
      <c r="K58" s="42"/>
      <c r="L58" s="42"/>
      <c r="M58" s="42"/>
      <c r="N58" s="42"/>
      <c r="O58" s="126"/>
      <c r="P58" s="88"/>
      <c r="Q58" s="48"/>
      <c r="R58" s="48"/>
      <c r="S58" s="48"/>
      <c r="T58" s="48"/>
      <c r="U58" s="130"/>
    </row>
    <row r="59" spans="1:21" x14ac:dyDescent="0.3">
      <c r="A59" s="1">
        <f t="shared" si="0"/>
        <v>0</v>
      </c>
      <c r="C59" s="1" cm="1">
        <f t="array" ref="C59">_xlfn.IFS(Projections!AW59+Projections!BG59&lt;=0,0,AND(NOT(ISBLANK(Setup!C$10)),Projections!A59&gt;65,Projections!B59&gt;65),Projections!AW59+Projections!BG59-M$15,AND(NOT(ISBLANK(Setup!C$10)),OR(Projections!A59&gt;65,Projections!B59&gt;65)),Projections!AW59+Projections!BG59-L$15,Projections!A59&gt;65,Projections!AW59+Projections!BG59-L$15,1,Projections!AW59+Projections!BG59-K$15)</f>
        <v>0</v>
      </c>
      <c r="D59" s="1">
        <f t="shared" si="4"/>
        <v>0</v>
      </c>
      <c r="E59" s="18">
        <f t="shared" si="5"/>
        <v>0</v>
      </c>
      <c r="F59" s="1">
        <f t="shared" si="6"/>
        <v>0</v>
      </c>
      <c r="H59" s="1"/>
      <c r="I59" s="251"/>
      <c r="J59" s="90"/>
      <c r="K59" s="140"/>
      <c r="L59" s="140"/>
      <c r="M59" s="140"/>
      <c r="N59" s="238"/>
      <c r="O59" s="126"/>
      <c r="P59" s="88"/>
      <c r="Q59" s="48"/>
      <c r="R59" s="48"/>
      <c r="S59" s="48"/>
      <c r="T59" s="48"/>
      <c r="U59" s="130"/>
    </row>
    <row r="60" spans="1:21" x14ac:dyDescent="0.3">
      <c r="A60" s="1">
        <f t="shared" si="0"/>
        <v>0</v>
      </c>
      <c r="C60" s="1" cm="1">
        <f t="array" ref="C60">_xlfn.IFS(Projections!AW60+Projections!BG60&lt;=0,0,AND(NOT(ISBLANK(Setup!C$10)),Projections!A60&gt;65,Projections!B60&gt;65),Projections!AW60+Projections!BG60-M$15,AND(NOT(ISBLANK(Setup!C$10)),OR(Projections!A60&gt;65,Projections!B60&gt;65)),Projections!AW60+Projections!BG60-L$15,Projections!A60&gt;65,Projections!AW60+Projections!BG60-L$15,1,Projections!AW60+Projections!BG60-K$15)</f>
        <v>0</v>
      </c>
      <c r="D60" s="1">
        <f t="shared" si="4"/>
        <v>0</v>
      </c>
      <c r="E60" s="18">
        <f t="shared" si="5"/>
        <v>0</v>
      </c>
      <c r="F60" s="1">
        <f t="shared" si="6"/>
        <v>0</v>
      </c>
      <c r="H60" s="1"/>
      <c r="I60" s="251"/>
      <c r="J60" s="90"/>
      <c r="K60" s="140"/>
      <c r="L60" s="140"/>
      <c r="M60" s="140"/>
      <c r="N60" s="238"/>
      <c r="O60" s="126"/>
      <c r="P60" s="88"/>
      <c r="Q60" s="48"/>
      <c r="R60" s="48"/>
      <c r="S60" s="48"/>
      <c r="T60" s="48"/>
      <c r="U60" s="130"/>
    </row>
    <row r="61" spans="1:21" x14ac:dyDescent="0.3">
      <c r="A61" s="1">
        <f t="shared" si="0"/>
        <v>0</v>
      </c>
      <c r="C61" s="1" cm="1">
        <f t="array" ref="C61">_xlfn.IFS(Projections!AW61+Projections!BG61&lt;=0,0,AND(NOT(ISBLANK(Setup!C$10)),Projections!A61&gt;65,Projections!B61&gt;65),Projections!AW61+Projections!BG61-M$15,AND(NOT(ISBLANK(Setup!C$10)),OR(Projections!A61&gt;65,Projections!B61&gt;65)),Projections!AW61+Projections!BG61-L$15,Projections!A61&gt;65,Projections!AW61+Projections!BG61-L$15,1,Projections!AW61+Projections!BG61-K$15)</f>
        <v>0</v>
      </c>
      <c r="D61" s="1">
        <f t="shared" si="4"/>
        <v>0</v>
      </c>
      <c r="E61" s="18">
        <f t="shared" si="5"/>
        <v>0</v>
      </c>
      <c r="F61" s="1">
        <f t="shared" si="6"/>
        <v>0</v>
      </c>
      <c r="H61" s="1"/>
      <c r="I61" s="251"/>
      <c r="J61" s="90"/>
      <c r="K61" s="140"/>
      <c r="L61" s="140"/>
      <c r="M61" s="140"/>
      <c r="N61" s="238"/>
      <c r="O61" s="126"/>
      <c r="P61" s="88"/>
      <c r="Q61" s="48"/>
      <c r="R61" s="48"/>
      <c r="S61" s="48"/>
      <c r="T61" s="48"/>
      <c r="U61" s="130"/>
    </row>
    <row r="62" spans="1:21" x14ac:dyDescent="0.3">
      <c r="A62" s="1">
        <f t="shared" si="0"/>
        <v>0</v>
      </c>
      <c r="C62" s="1" cm="1">
        <f t="array" ref="C62">_xlfn.IFS(Projections!AW62+Projections!BG62&lt;=0,0,AND(NOT(ISBLANK(Setup!C$10)),Projections!A62&gt;65,Projections!B62&gt;65),Projections!AW62+Projections!BG62-M$15,AND(NOT(ISBLANK(Setup!C$10)),OR(Projections!A62&gt;65,Projections!B62&gt;65)),Projections!AW62+Projections!BG62-L$15,Projections!A62&gt;65,Projections!AW62+Projections!BG62-L$15,1,Projections!AW62+Projections!BG62-K$15)</f>
        <v>0</v>
      </c>
      <c r="D62" s="1">
        <f t="shared" si="4"/>
        <v>0</v>
      </c>
      <c r="E62" s="18">
        <f t="shared" si="5"/>
        <v>0</v>
      </c>
      <c r="F62" s="1">
        <f t="shared" si="6"/>
        <v>0</v>
      </c>
      <c r="H62" s="1"/>
      <c r="I62" s="251"/>
      <c r="J62" s="90"/>
      <c r="K62" s="140"/>
      <c r="L62" s="140"/>
      <c r="M62" s="140"/>
      <c r="N62" s="238"/>
      <c r="O62" s="126"/>
      <c r="P62" s="88"/>
      <c r="Q62" s="48"/>
      <c r="R62" s="48"/>
      <c r="S62" s="48"/>
      <c r="T62" s="48"/>
      <c r="U62" s="130"/>
    </row>
    <row r="63" spans="1:21" x14ac:dyDescent="0.3">
      <c r="A63" s="1">
        <f t="shared" si="0"/>
        <v>0</v>
      </c>
      <c r="C63" s="1" cm="1">
        <f t="array" ref="C63">_xlfn.IFS(Projections!AW63+Projections!BG63&lt;=0,0,AND(NOT(ISBLANK(Setup!C$10)),Projections!A63&gt;65,Projections!B63&gt;65),Projections!AW63+Projections!BG63-M$15,AND(NOT(ISBLANK(Setup!C$10)),OR(Projections!A63&gt;65,Projections!B63&gt;65)),Projections!AW63+Projections!BG63-L$15,Projections!A63&gt;65,Projections!AW63+Projections!BG63-L$15,1,Projections!AW63+Projections!BG63-K$15)</f>
        <v>0</v>
      </c>
      <c r="D63" s="1">
        <f t="shared" si="4"/>
        <v>0</v>
      </c>
      <c r="E63" s="18">
        <f t="shared" si="5"/>
        <v>0</v>
      </c>
      <c r="F63" s="1">
        <f t="shared" si="6"/>
        <v>0</v>
      </c>
      <c r="H63" s="1"/>
      <c r="I63" s="251"/>
      <c r="J63" s="90"/>
      <c r="K63" s="237"/>
      <c r="L63" s="103"/>
      <c r="M63" s="140"/>
      <c r="N63" s="140"/>
      <c r="O63" s="126"/>
      <c r="P63" s="88"/>
      <c r="Q63" s="48"/>
      <c r="R63" s="132"/>
      <c r="S63" s="48"/>
      <c r="T63" s="48"/>
      <c r="U63" s="130"/>
    </row>
    <row r="64" spans="1:21" x14ac:dyDescent="0.3">
      <c r="A64" s="1">
        <f t="shared" si="0"/>
        <v>0</v>
      </c>
      <c r="C64" s="1" cm="1">
        <f t="array" ref="C64">_xlfn.IFS(Projections!AW64+Projections!BG64&lt;=0,0,AND(NOT(ISBLANK(Setup!C$10)),Projections!A64&gt;65,Projections!B64&gt;65),Projections!AW64+Projections!BG64-M$15,AND(NOT(ISBLANK(Setup!C$10)),OR(Projections!A64&gt;65,Projections!B64&gt;65)),Projections!AW64+Projections!BG64-L$15,Projections!A64&gt;65,Projections!AW64+Projections!BG64-L$15,1,Projections!AW64+Projections!BG64-K$15)</f>
        <v>0</v>
      </c>
      <c r="D64" s="1">
        <f t="shared" si="4"/>
        <v>0</v>
      </c>
      <c r="E64" s="18">
        <f t="shared" si="5"/>
        <v>0</v>
      </c>
      <c r="F64" s="1">
        <f t="shared" si="6"/>
        <v>0</v>
      </c>
      <c r="H64" s="1"/>
      <c r="I64" s="251"/>
      <c r="J64" s="90"/>
      <c r="K64" s="94"/>
      <c r="L64" s="140"/>
      <c r="M64" s="140"/>
      <c r="N64" s="140"/>
      <c r="O64" s="126"/>
      <c r="P64" s="88"/>
      <c r="Q64" s="48"/>
      <c r="S64" s="48"/>
      <c r="T64" s="48"/>
      <c r="U64" s="130"/>
    </row>
    <row r="65" spans="1:21" x14ac:dyDescent="0.3">
      <c r="A65" s="1">
        <f t="shared" si="0"/>
        <v>0</v>
      </c>
      <c r="C65" s="1" cm="1">
        <f t="array" ref="C65">_xlfn.IFS(Projections!AW65+Projections!BG65&lt;=0,0,AND(NOT(ISBLANK(Setup!C$10)),Projections!A65&gt;65,Projections!B65&gt;65),Projections!AW65+Projections!BG65-M$15,AND(NOT(ISBLANK(Setup!C$10)),OR(Projections!A65&gt;65,Projections!B65&gt;65)),Projections!AW65+Projections!BG65-L$15,Projections!A65&gt;65,Projections!AW65+Projections!BG65-L$15,1,Projections!AW65+Projections!BG65-K$15)</f>
        <v>0</v>
      </c>
      <c r="D65" s="1">
        <f t="shared" si="4"/>
        <v>0</v>
      </c>
      <c r="E65" s="18">
        <f t="shared" si="5"/>
        <v>0</v>
      </c>
      <c r="F65" s="1">
        <f t="shared" si="6"/>
        <v>0</v>
      </c>
      <c r="H65" s="1"/>
      <c r="I65" s="251"/>
      <c r="J65" s="90"/>
      <c r="K65" s="42"/>
      <c r="L65" s="42"/>
      <c r="M65" s="42"/>
      <c r="N65" s="42"/>
      <c r="O65" s="126"/>
      <c r="P65" s="88"/>
      <c r="Q65" s="48"/>
      <c r="R65" s="133"/>
      <c r="S65" s="48"/>
      <c r="T65" s="48"/>
      <c r="U65" s="130"/>
    </row>
    <row r="66" spans="1:21" x14ac:dyDescent="0.3">
      <c r="A66" s="1">
        <f t="shared" si="0"/>
        <v>0</v>
      </c>
      <c r="C66" s="1" cm="1">
        <f t="array" ref="C66">_xlfn.IFS(Projections!AW66+Projections!BG66&lt;=0,0,AND(NOT(ISBLANK(Setup!C$10)),Projections!A66&gt;65,Projections!B66&gt;65),Projections!AW66+Projections!BG66-M$15,AND(NOT(ISBLANK(Setup!C$10)),OR(Projections!A66&gt;65,Projections!B66&gt;65)),Projections!AW66+Projections!BG66-L$15,Projections!A66&gt;65,Projections!AW66+Projections!BG66-L$15,1,Projections!AW66+Projections!BG66-K$15)</f>
        <v>0</v>
      </c>
      <c r="D66" s="1">
        <f t="shared" si="4"/>
        <v>0</v>
      </c>
      <c r="E66" s="18">
        <f t="shared" si="5"/>
        <v>0</v>
      </c>
      <c r="F66" s="1">
        <f t="shared" si="6"/>
        <v>0</v>
      </c>
      <c r="H66" s="1"/>
      <c r="I66" s="251"/>
      <c r="J66" s="90"/>
      <c r="K66" s="140"/>
      <c r="L66" s="140"/>
      <c r="M66" s="140"/>
      <c r="N66" s="238"/>
      <c r="O66" s="126"/>
      <c r="P66" s="88"/>
      <c r="Q66" s="48"/>
      <c r="R66" s="48"/>
      <c r="S66" s="48"/>
      <c r="T66" s="48"/>
      <c r="U66" s="130"/>
    </row>
    <row r="67" spans="1:21" x14ac:dyDescent="0.3">
      <c r="A67" s="1">
        <f t="shared" si="0"/>
        <v>0</v>
      </c>
      <c r="C67" s="1" cm="1">
        <f t="array" ref="C67">_xlfn.IFS(Projections!AW67+Projections!BG67&lt;=0,0,AND(NOT(ISBLANK(Setup!C$10)),Projections!A67&gt;65,Projections!B67&gt;65),Projections!AW67+Projections!BG67-M$15,AND(NOT(ISBLANK(Setup!C$10)),OR(Projections!A67&gt;65,Projections!B67&gt;65)),Projections!AW67+Projections!BG67-L$15,Projections!A67&gt;65,Projections!AW67+Projections!BG67-L$15,1,Projections!AW67+Projections!BG67-K$15)</f>
        <v>0</v>
      </c>
      <c r="D67" s="1">
        <f t="shared" si="4"/>
        <v>0</v>
      </c>
      <c r="E67" s="18">
        <f t="shared" si="5"/>
        <v>0</v>
      </c>
      <c r="F67" s="1">
        <f t="shared" si="6"/>
        <v>0</v>
      </c>
      <c r="H67" s="1"/>
      <c r="I67" s="251"/>
      <c r="J67" s="90"/>
      <c r="K67" s="140"/>
      <c r="L67" s="140"/>
      <c r="M67" s="140"/>
      <c r="N67" s="238"/>
      <c r="O67" s="126"/>
      <c r="P67" s="88"/>
      <c r="Q67" s="48"/>
      <c r="R67" s="48"/>
      <c r="S67" s="48"/>
      <c r="T67" s="48"/>
      <c r="U67" s="130"/>
    </row>
    <row r="68" spans="1:21" x14ac:dyDescent="0.3">
      <c r="A68" s="1">
        <f t="shared" si="0"/>
        <v>0</v>
      </c>
      <c r="C68" s="1" cm="1">
        <f t="array" ref="C68">_xlfn.IFS(Projections!AW68+Projections!BG68&lt;=0,0,AND(NOT(ISBLANK(Setup!C$10)),Projections!A68&gt;65,Projections!B68&gt;65),Projections!AW68+Projections!BG68-M$15,AND(NOT(ISBLANK(Setup!C$10)),OR(Projections!A68&gt;65,Projections!B68&gt;65)),Projections!AW68+Projections!BG68-L$15,Projections!A68&gt;65,Projections!AW68+Projections!BG68-L$15,1,Projections!AW68+Projections!BG68-K$15)</f>
        <v>0</v>
      </c>
      <c r="D68" s="1">
        <f t="shared" si="4"/>
        <v>0</v>
      </c>
      <c r="E68" s="18">
        <f t="shared" si="5"/>
        <v>0</v>
      </c>
      <c r="F68" s="1">
        <f t="shared" si="6"/>
        <v>0</v>
      </c>
      <c r="H68" s="1"/>
      <c r="I68" s="251"/>
      <c r="J68" s="90"/>
      <c r="K68" s="140"/>
      <c r="L68" s="140"/>
      <c r="M68" s="140"/>
      <c r="N68" s="238"/>
      <c r="O68" s="126"/>
      <c r="P68" s="88"/>
      <c r="Q68" s="48"/>
      <c r="R68" s="48"/>
      <c r="S68" s="48"/>
      <c r="T68" s="48"/>
      <c r="U68" s="130"/>
    </row>
    <row r="69" spans="1:21" x14ac:dyDescent="0.3">
      <c r="A69" s="1">
        <f t="shared" si="0"/>
        <v>0</v>
      </c>
      <c r="C69" s="1" cm="1">
        <f t="array" ref="C69">_xlfn.IFS(Projections!AW69+Projections!BG69&lt;=0,0,AND(NOT(ISBLANK(Setup!C$10)),Projections!A69&gt;65,Projections!B69&gt;65),Projections!AW69+Projections!BG69-M$15,AND(NOT(ISBLANK(Setup!C$10)),OR(Projections!A69&gt;65,Projections!B69&gt;65)),Projections!AW69+Projections!BG69-L$15,Projections!A69&gt;65,Projections!AW69+Projections!BG69-L$15,1,Projections!AW69+Projections!BG69-K$15)</f>
        <v>0</v>
      </c>
      <c r="D69" s="1">
        <f t="shared" si="4"/>
        <v>0</v>
      </c>
      <c r="E69" s="18">
        <f t="shared" si="5"/>
        <v>0</v>
      </c>
      <c r="F69" s="1">
        <f t="shared" si="6"/>
        <v>0</v>
      </c>
      <c r="H69" s="1"/>
      <c r="I69" s="251"/>
      <c r="J69" s="90"/>
      <c r="K69" s="140"/>
      <c r="L69" s="140"/>
      <c r="M69" s="140"/>
      <c r="N69" s="238"/>
      <c r="O69" s="126"/>
      <c r="P69" s="88"/>
      <c r="Q69" s="48"/>
      <c r="S69" s="48"/>
      <c r="T69" s="48"/>
      <c r="U69" s="130"/>
    </row>
    <row r="70" spans="1:21" x14ac:dyDescent="0.3">
      <c r="A70" s="1">
        <f t="shared" si="0"/>
        <v>0</v>
      </c>
      <c r="C70" s="1" cm="1">
        <f t="array" ref="C70">_xlfn.IFS(Projections!AW70+Projections!BG70&lt;=0,0,AND(NOT(ISBLANK(Setup!C$10)),Projections!A70&gt;65,Projections!B70&gt;65),Projections!AW70+Projections!BG70-M$15,AND(NOT(ISBLANK(Setup!C$10)),OR(Projections!A70&gt;65,Projections!B70&gt;65)),Projections!AW70+Projections!BG70-L$15,Projections!A70&gt;65,Projections!AW70+Projections!BG70-L$15,1,Projections!AW70+Projections!BG70-K$15)</f>
        <v>0</v>
      </c>
      <c r="D70" s="1">
        <f t="shared" si="4"/>
        <v>0</v>
      </c>
      <c r="E70" s="18">
        <f t="shared" si="5"/>
        <v>0</v>
      </c>
      <c r="F70" s="1">
        <f t="shared" si="6"/>
        <v>0</v>
      </c>
      <c r="H70" s="1"/>
      <c r="I70" s="121"/>
      <c r="J70" s="122"/>
      <c r="K70" s="123"/>
      <c r="L70" s="123"/>
      <c r="M70" s="123"/>
      <c r="N70" s="122"/>
      <c r="O70" s="250"/>
      <c r="P70" s="99"/>
      <c r="Q70" s="104"/>
      <c r="R70" s="104"/>
      <c r="S70" s="104"/>
      <c r="T70" s="104"/>
      <c r="U70" s="131"/>
    </row>
    <row r="71" spans="1:21" x14ac:dyDescent="0.3">
      <c r="A71" s="1">
        <f t="shared" ref="A71:A92" si="7">D71+F71</f>
        <v>0</v>
      </c>
      <c r="C71" s="1" cm="1">
        <f t="array" ref="C71">_xlfn.IFS(Projections!AW71+Projections!BG71&lt;=0,0,AND(NOT(ISBLANK(Setup!C$10)),Projections!A71&gt;65,Projections!B71&gt;65),Projections!AW71+Projections!BG71-M$15,AND(NOT(ISBLANK(Setup!C$10)),OR(Projections!A71&gt;65,Projections!B71&gt;65)),Projections!AW71+Projections!BG71-L$15,Projections!A71&gt;65,Projections!AW71+Projections!BG71-L$15,1,Projections!AW71+Projections!BG71-K$15)</f>
        <v>0</v>
      </c>
      <c r="D71" s="1">
        <f t="shared" ref="D71:D92" si="8">-C71*K$19</f>
        <v>0</v>
      </c>
      <c r="E71" s="18">
        <f t="shared" ref="E71:E92" si="9">IF(C71=0,0,-D71/C71)</f>
        <v>0</v>
      </c>
      <c r="F71" s="1">
        <f t="shared" ref="F71:F92" si="10">IF(C71=0,0,(D71*E71^2)+(D71*E71^3)+(D71*E71^4)+(D71*E71^5)+(D71*E71^6)+(D71*E71^7)+(D71*E71^8)+(D71*E71^9)+(D71*E71^10))</f>
        <v>0</v>
      </c>
      <c r="H71" s="1"/>
    </row>
    <row r="72" spans="1:21" x14ac:dyDescent="0.3">
      <c r="A72" s="1">
        <f t="shared" si="7"/>
        <v>0</v>
      </c>
      <c r="C72" s="1" cm="1">
        <f t="array" ref="C72">_xlfn.IFS(Projections!AW72+Projections!BG72&lt;=0,0,AND(NOT(ISBLANK(Setup!C$10)),Projections!A72&gt;65,Projections!B72&gt;65),Projections!AW72+Projections!BG72-M$15,AND(NOT(ISBLANK(Setup!C$10)),OR(Projections!A72&gt;65,Projections!B72&gt;65)),Projections!AW72+Projections!BG72-L$15,Projections!A72&gt;65,Projections!AW72+Projections!BG72-L$15,1,Projections!AW72+Projections!BG72-K$15)</f>
        <v>0</v>
      </c>
      <c r="D72" s="1">
        <f t="shared" si="8"/>
        <v>0</v>
      </c>
      <c r="E72" s="18">
        <f t="shared" si="9"/>
        <v>0</v>
      </c>
      <c r="F72" s="1">
        <f t="shared" si="10"/>
        <v>0</v>
      </c>
      <c r="H72" s="1"/>
    </row>
    <row r="73" spans="1:21" x14ac:dyDescent="0.3">
      <c r="A73" s="1">
        <f t="shared" si="7"/>
        <v>0</v>
      </c>
      <c r="C73" s="1" cm="1">
        <f t="array" ref="C73">_xlfn.IFS(Projections!AW73+Projections!BG73&lt;=0,0,AND(NOT(ISBLANK(Setup!C$10)),Projections!A73&gt;65,Projections!B73&gt;65),Projections!AW73+Projections!BG73-M$15,AND(NOT(ISBLANK(Setup!C$10)),OR(Projections!A73&gt;65,Projections!B73&gt;65)),Projections!AW73+Projections!BG73-L$15,Projections!A73&gt;65,Projections!AW73+Projections!BG73-L$15,1,Projections!AW73+Projections!BG73-K$15)</f>
        <v>0</v>
      </c>
      <c r="D73" s="1">
        <f t="shared" si="8"/>
        <v>0</v>
      </c>
      <c r="E73" s="18">
        <f t="shared" si="9"/>
        <v>0</v>
      </c>
      <c r="F73" s="1">
        <f t="shared" si="10"/>
        <v>0</v>
      </c>
      <c r="H73" s="1"/>
    </row>
    <row r="74" spans="1:21" x14ac:dyDescent="0.3">
      <c r="A74" s="1">
        <f t="shared" si="7"/>
        <v>0</v>
      </c>
      <c r="C74" s="1" cm="1">
        <f t="array" ref="C74">_xlfn.IFS(Projections!AW74+Projections!BG74&lt;=0,0,AND(NOT(ISBLANK(Setup!C$10)),Projections!A74&gt;65,Projections!B74&gt;65),Projections!AW74+Projections!BG74-M$15,AND(NOT(ISBLANK(Setup!C$10)),OR(Projections!A74&gt;65,Projections!B74&gt;65)),Projections!AW74+Projections!BG74-L$15,Projections!A74&gt;65,Projections!AW74+Projections!BG74-L$15,1,Projections!AW74+Projections!BG74-K$15)</f>
        <v>0</v>
      </c>
      <c r="D74" s="1">
        <f t="shared" si="8"/>
        <v>0</v>
      </c>
      <c r="E74" s="18">
        <f t="shared" si="9"/>
        <v>0</v>
      </c>
      <c r="F74" s="1">
        <f t="shared" si="10"/>
        <v>0</v>
      </c>
      <c r="H74" s="1"/>
    </row>
    <row r="75" spans="1:21" x14ac:dyDescent="0.3">
      <c r="A75" s="1">
        <f t="shared" si="7"/>
        <v>0</v>
      </c>
      <c r="C75" s="1" cm="1">
        <f t="array" ref="C75">_xlfn.IFS(Projections!AW75+Projections!BG75&lt;=0,0,AND(NOT(ISBLANK(Setup!C$10)),Projections!A75&gt;65,Projections!B75&gt;65),Projections!AW75+Projections!BG75-M$15,AND(NOT(ISBLANK(Setup!C$10)),OR(Projections!A75&gt;65,Projections!B75&gt;65)),Projections!AW75+Projections!BG75-L$15,Projections!A75&gt;65,Projections!AW75+Projections!BG75-L$15,1,Projections!AW75+Projections!BG75-K$15)</f>
        <v>0</v>
      </c>
      <c r="D75" s="1">
        <f t="shared" si="8"/>
        <v>0</v>
      </c>
      <c r="E75" s="18">
        <f t="shared" si="9"/>
        <v>0</v>
      </c>
      <c r="F75" s="1">
        <f t="shared" si="10"/>
        <v>0</v>
      </c>
      <c r="H75" s="1"/>
    </row>
    <row r="76" spans="1:21" x14ac:dyDescent="0.3">
      <c r="A76" s="1">
        <f t="shared" si="7"/>
        <v>0</v>
      </c>
      <c r="C76" s="1" cm="1">
        <f t="array" ref="C76">_xlfn.IFS(Projections!AW76+Projections!BG76&lt;=0,0,AND(NOT(ISBLANK(Setup!C$10)),Projections!A76&gt;65,Projections!B76&gt;65),Projections!AW76+Projections!BG76-M$15,AND(NOT(ISBLANK(Setup!C$10)),OR(Projections!A76&gt;65,Projections!B76&gt;65)),Projections!AW76+Projections!BG76-L$15,Projections!A76&gt;65,Projections!AW76+Projections!BG76-L$15,1,Projections!AW76+Projections!BG76-K$15)</f>
        <v>0</v>
      </c>
      <c r="D76" s="1">
        <f t="shared" si="8"/>
        <v>0</v>
      </c>
      <c r="E76" s="18">
        <f t="shared" si="9"/>
        <v>0</v>
      </c>
      <c r="F76" s="1">
        <f t="shared" si="10"/>
        <v>0</v>
      </c>
      <c r="H76" s="1"/>
    </row>
    <row r="77" spans="1:21" x14ac:dyDescent="0.3">
      <c r="A77" s="1">
        <f t="shared" si="7"/>
        <v>0</v>
      </c>
      <c r="C77" s="1" cm="1">
        <f t="array" ref="C77">_xlfn.IFS(Projections!AW77+Projections!BG77&lt;=0,0,AND(NOT(ISBLANK(Setup!C$10)),Projections!A77&gt;65,Projections!B77&gt;65),Projections!AW77+Projections!BG77-M$15,AND(NOT(ISBLANK(Setup!C$10)),OR(Projections!A77&gt;65,Projections!B77&gt;65)),Projections!AW77+Projections!BG77-L$15,Projections!A77&gt;65,Projections!AW77+Projections!BG77-L$15,1,Projections!AW77+Projections!BG77-K$15)</f>
        <v>0</v>
      </c>
      <c r="D77" s="1">
        <f t="shared" si="8"/>
        <v>0</v>
      </c>
      <c r="E77" s="18">
        <f t="shared" si="9"/>
        <v>0</v>
      </c>
      <c r="F77" s="1">
        <f t="shared" si="10"/>
        <v>0</v>
      </c>
      <c r="H77" s="1"/>
      <c r="I77" s="1"/>
    </row>
    <row r="78" spans="1:21" x14ac:dyDescent="0.3">
      <c r="A78" s="1">
        <f t="shared" si="7"/>
        <v>0</v>
      </c>
      <c r="C78" s="1" cm="1">
        <f t="array" ref="C78">_xlfn.IFS(Projections!AW78+Projections!BG78&lt;=0,0,AND(NOT(ISBLANK(Setup!C$10)),Projections!A78&gt;65,Projections!B78&gt;65),Projections!AW78+Projections!BG78-M$15,AND(NOT(ISBLANK(Setup!C$10)),OR(Projections!A78&gt;65,Projections!B78&gt;65)),Projections!AW78+Projections!BG78-L$15,Projections!A78&gt;65,Projections!AW78+Projections!BG78-L$15,1,Projections!AW78+Projections!BG78-K$15)</f>
        <v>0</v>
      </c>
      <c r="D78" s="1">
        <f t="shared" si="8"/>
        <v>0</v>
      </c>
      <c r="E78" s="18">
        <f t="shared" si="9"/>
        <v>0</v>
      </c>
      <c r="F78" s="1">
        <f t="shared" si="10"/>
        <v>0</v>
      </c>
      <c r="H78" s="1"/>
      <c r="I78" s="1"/>
    </row>
    <row r="79" spans="1:21" x14ac:dyDescent="0.3">
      <c r="A79" s="1">
        <f t="shared" si="7"/>
        <v>0</v>
      </c>
      <c r="C79" s="1" cm="1">
        <f t="array" ref="C79">_xlfn.IFS(Projections!AW79+Projections!BG79&lt;=0,0,AND(NOT(ISBLANK(Setup!C$10)),Projections!A79&gt;65,Projections!B79&gt;65),Projections!AW79+Projections!BG79-M$15,AND(NOT(ISBLANK(Setup!C$10)),OR(Projections!A79&gt;65,Projections!B79&gt;65)),Projections!AW79+Projections!BG79-L$15,Projections!A79&gt;65,Projections!AW79+Projections!BG79-L$15,1,Projections!AW79+Projections!BG79-K$15)</f>
        <v>0</v>
      </c>
      <c r="D79" s="1">
        <f t="shared" si="8"/>
        <v>0</v>
      </c>
      <c r="E79" s="18">
        <f t="shared" si="9"/>
        <v>0</v>
      </c>
      <c r="F79" s="1">
        <f t="shared" si="10"/>
        <v>0</v>
      </c>
      <c r="H79" s="1"/>
      <c r="I79" s="1"/>
    </row>
    <row r="80" spans="1:21" x14ac:dyDescent="0.3">
      <c r="A80" s="1">
        <f t="shared" si="7"/>
        <v>0</v>
      </c>
      <c r="C80" s="1" cm="1">
        <f t="array" ref="C80">_xlfn.IFS(Projections!AW80+Projections!BG80&lt;=0,0,AND(NOT(ISBLANK(Setup!C$10)),Projections!A80&gt;65,Projections!B80&gt;65),Projections!AW80+Projections!BG80-M$15,AND(NOT(ISBLANK(Setup!C$10)),OR(Projections!A80&gt;65,Projections!B80&gt;65)),Projections!AW80+Projections!BG80-L$15,Projections!A80&gt;65,Projections!AW80+Projections!BG80-L$15,1,Projections!AW80+Projections!BG80-K$15)</f>
        <v>0</v>
      </c>
      <c r="D80" s="1">
        <f t="shared" si="8"/>
        <v>0</v>
      </c>
      <c r="E80" s="18">
        <f t="shared" si="9"/>
        <v>0</v>
      </c>
      <c r="F80" s="1">
        <f t="shared" si="10"/>
        <v>0</v>
      </c>
      <c r="H80" s="1"/>
      <c r="I80" s="1"/>
    </row>
    <row r="81" spans="1:9" x14ac:dyDescent="0.3">
      <c r="A81" s="1">
        <f t="shared" si="7"/>
        <v>0</v>
      </c>
      <c r="C81" s="1" cm="1">
        <f t="array" ref="C81">_xlfn.IFS(Projections!AW81+Projections!BG81&lt;=0,0,AND(NOT(ISBLANK(Setup!C$10)),Projections!A81&gt;65,Projections!B81&gt;65),Projections!AW81+Projections!BG81-M$15,AND(NOT(ISBLANK(Setup!C$10)),OR(Projections!A81&gt;65,Projections!B81&gt;65)),Projections!AW81+Projections!BG81-L$15,Projections!A81&gt;65,Projections!AW81+Projections!BG81-L$15,1,Projections!AW81+Projections!BG81-K$15)</f>
        <v>0</v>
      </c>
      <c r="D81" s="1">
        <f t="shared" si="8"/>
        <v>0</v>
      </c>
      <c r="E81" s="18">
        <f t="shared" si="9"/>
        <v>0</v>
      </c>
      <c r="F81" s="1">
        <f t="shared" si="10"/>
        <v>0</v>
      </c>
      <c r="H81" s="1"/>
      <c r="I81" s="1"/>
    </row>
    <row r="82" spans="1:9" x14ac:dyDescent="0.3">
      <c r="A82" s="1">
        <f t="shared" si="7"/>
        <v>0</v>
      </c>
      <c r="C82" s="1" cm="1">
        <f t="array" ref="C82">_xlfn.IFS(Projections!AW82+Projections!BG82&lt;=0,0,AND(NOT(ISBLANK(Setup!C$10)),Projections!A82&gt;65,Projections!B82&gt;65),Projections!AW82+Projections!BG82-M$15,AND(NOT(ISBLANK(Setup!C$10)),OR(Projections!A82&gt;65,Projections!B82&gt;65)),Projections!AW82+Projections!BG82-L$15,Projections!A82&gt;65,Projections!AW82+Projections!BG82-L$15,1,Projections!AW82+Projections!BG82-K$15)</f>
        <v>0</v>
      </c>
      <c r="D82" s="1">
        <f t="shared" si="8"/>
        <v>0</v>
      </c>
      <c r="E82" s="18">
        <f t="shared" si="9"/>
        <v>0</v>
      </c>
      <c r="F82" s="1">
        <f t="shared" si="10"/>
        <v>0</v>
      </c>
      <c r="H82" s="1"/>
      <c r="I82" s="1"/>
    </row>
    <row r="83" spans="1:9" x14ac:dyDescent="0.3">
      <c r="A83" s="1">
        <f t="shared" si="7"/>
        <v>0</v>
      </c>
      <c r="C83" s="1" cm="1">
        <f t="array" ref="C83">_xlfn.IFS(Projections!AW83+Projections!BG83&lt;=0,0,AND(NOT(ISBLANK(Setup!C$10)),Projections!A83&gt;65,Projections!B83&gt;65),Projections!AW83+Projections!BG83-M$15,AND(NOT(ISBLANK(Setup!C$10)),OR(Projections!A83&gt;65,Projections!B83&gt;65)),Projections!AW83+Projections!BG83-L$15,Projections!A83&gt;65,Projections!AW83+Projections!BG83-L$15,1,Projections!AW83+Projections!BG83-K$15)</f>
        <v>0</v>
      </c>
      <c r="D83" s="1">
        <f t="shared" si="8"/>
        <v>0</v>
      </c>
      <c r="E83" s="18">
        <f t="shared" si="9"/>
        <v>0</v>
      </c>
      <c r="F83" s="1">
        <f t="shared" si="10"/>
        <v>0</v>
      </c>
      <c r="H83" s="1"/>
      <c r="I83" s="1"/>
    </row>
    <row r="84" spans="1:9" x14ac:dyDescent="0.3">
      <c r="A84" s="1">
        <f t="shared" si="7"/>
        <v>0</v>
      </c>
      <c r="C84" s="1" cm="1">
        <f t="array" ref="C84">_xlfn.IFS(Projections!AW84+Projections!BG84&lt;=0,0,AND(NOT(ISBLANK(Setup!C$10)),Projections!A84&gt;65,Projections!B84&gt;65),Projections!AW84+Projections!BG84-M$15,AND(NOT(ISBLANK(Setup!C$10)),OR(Projections!A84&gt;65,Projections!B84&gt;65)),Projections!AW84+Projections!BG84-L$15,Projections!A84&gt;65,Projections!AW84+Projections!BG84-L$15,1,Projections!AW84+Projections!BG84-K$15)</f>
        <v>0</v>
      </c>
      <c r="D84" s="1">
        <f t="shared" si="8"/>
        <v>0</v>
      </c>
      <c r="E84" s="18">
        <f t="shared" si="9"/>
        <v>0</v>
      </c>
      <c r="F84" s="1">
        <f t="shared" si="10"/>
        <v>0</v>
      </c>
      <c r="H84" s="1"/>
      <c r="I84" s="1"/>
    </row>
    <row r="85" spans="1:9" x14ac:dyDescent="0.3">
      <c r="A85" s="1">
        <f t="shared" si="7"/>
        <v>0</v>
      </c>
      <c r="C85" s="1" cm="1">
        <f t="array" ref="C85">_xlfn.IFS(Projections!AW85+Projections!BG85&lt;=0,0,AND(NOT(ISBLANK(Setup!C$10)),Projections!A85&gt;65,Projections!B85&gt;65),Projections!AW85+Projections!BG85-M$15,AND(NOT(ISBLANK(Setup!C$10)),OR(Projections!A85&gt;65,Projections!B85&gt;65)),Projections!AW85+Projections!BG85-L$15,Projections!A85&gt;65,Projections!AW85+Projections!BG85-L$15,1,Projections!AW85+Projections!BG85-K$15)</f>
        <v>0</v>
      </c>
      <c r="D85" s="1">
        <f t="shared" si="8"/>
        <v>0</v>
      </c>
      <c r="E85" s="18">
        <f t="shared" si="9"/>
        <v>0</v>
      </c>
      <c r="F85" s="1">
        <f t="shared" si="10"/>
        <v>0</v>
      </c>
      <c r="H85" s="1"/>
      <c r="I85" s="1"/>
    </row>
    <row r="86" spans="1:9" x14ac:dyDescent="0.3">
      <c r="A86" s="1">
        <f t="shared" si="7"/>
        <v>0</v>
      </c>
      <c r="C86" s="1" cm="1">
        <f t="array" ref="C86">_xlfn.IFS(Projections!AW86+Projections!BG86&lt;=0,0,AND(NOT(ISBLANK(Setup!C$10)),Projections!A86&gt;65,Projections!B86&gt;65),Projections!AW86+Projections!BG86-M$15,AND(NOT(ISBLANK(Setup!C$10)),OR(Projections!A86&gt;65,Projections!B86&gt;65)),Projections!AW86+Projections!BG86-L$15,Projections!A86&gt;65,Projections!AW86+Projections!BG86-L$15,1,Projections!AW86+Projections!BG86-K$15)</f>
        <v>0</v>
      </c>
      <c r="D86" s="1">
        <f t="shared" si="8"/>
        <v>0</v>
      </c>
      <c r="E86" s="18">
        <f t="shared" si="9"/>
        <v>0</v>
      </c>
      <c r="F86" s="1">
        <f t="shared" si="10"/>
        <v>0</v>
      </c>
      <c r="H86" s="1"/>
      <c r="I86" s="1"/>
    </row>
    <row r="87" spans="1:9" x14ac:dyDescent="0.3">
      <c r="A87" s="1">
        <f t="shared" si="7"/>
        <v>0</v>
      </c>
      <c r="C87" s="1" cm="1">
        <f t="array" ref="C87">_xlfn.IFS(Projections!AW87+Projections!BG87&lt;=0,0,AND(NOT(ISBLANK(Setup!C$10)),Projections!A87&gt;65,Projections!B87&gt;65),Projections!AW87+Projections!BG87-M$15,AND(NOT(ISBLANK(Setup!C$10)),OR(Projections!A87&gt;65,Projections!B87&gt;65)),Projections!AW87+Projections!BG87-L$15,Projections!A87&gt;65,Projections!AW87+Projections!BG87-L$15,1,Projections!AW87+Projections!BG87-K$15)</f>
        <v>0</v>
      </c>
      <c r="D87" s="1">
        <f t="shared" si="8"/>
        <v>0</v>
      </c>
      <c r="E87" s="18">
        <f t="shared" si="9"/>
        <v>0</v>
      </c>
      <c r="F87" s="1">
        <f t="shared" si="10"/>
        <v>0</v>
      </c>
      <c r="H87" s="1"/>
      <c r="I87" s="1"/>
    </row>
    <row r="88" spans="1:9" x14ac:dyDescent="0.3">
      <c r="A88" s="1">
        <f t="shared" si="7"/>
        <v>0</v>
      </c>
      <c r="C88" s="1" cm="1">
        <f t="array" ref="C88">_xlfn.IFS(Projections!AW88+Projections!BG88&lt;=0,0,AND(NOT(ISBLANK(Setup!C$10)),Projections!A88&gt;65,Projections!B88&gt;65),Projections!AW88+Projections!BG88-M$15,AND(NOT(ISBLANK(Setup!C$10)),OR(Projections!A88&gt;65,Projections!B88&gt;65)),Projections!AW88+Projections!BG88-L$15,Projections!A88&gt;65,Projections!AW88+Projections!BG88-L$15,1,Projections!AW88+Projections!BG88-K$15)</f>
        <v>0</v>
      </c>
      <c r="D88" s="1">
        <f t="shared" si="8"/>
        <v>0</v>
      </c>
      <c r="E88" s="18">
        <f t="shared" si="9"/>
        <v>0</v>
      </c>
      <c r="F88" s="1">
        <f t="shared" si="10"/>
        <v>0</v>
      </c>
      <c r="H88" s="1"/>
      <c r="I88" s="1"/>
    </row>
    <row r="89" spans="1:9" x14ac:dyDescent="0.3">
      <c r="A89" s="1">
        <f t="shared" si="7"/>
        <v>0</v>
      </c>
      <c r="C89" s="1" cm="1">
        <f t="array" ref="C89">_xlfn.IFS(Projections!AW89+Projections!BG89&lt;=0,0,AND(NOT(ISBLANK(Setup!C$10)),Projections!A89&gt;65,Projections!B89&gt;65),Projections!AW89+Projections!BG89-M$15,AND(NOT(ISBLANK(Setup!C$10)),OR(Projections!A89&gt;65,Projections!B89&gt;65)),Projections!AW89+Projections!BG89-L$15,Projections!A89&gt;65,Projections!AW89+Projections!BG89-L$15,1,Projections!AW89+Projections!BG89-K$15)</f>
        <v>0</v>
      </c>
      <c r="D89" s="1">
        <f t="shared" si="8"/>
        <v>0</v>
      </c>
      <c r="E89" s="18">
        <f t="shared" si="9"/>
        <v>0</v>
      </c>
      <c r="F89" s="1">
        <f t="shared" si="10"/>
        <v>0</v>
      </c>
      <c r="H89" s="1"/>
      <c r="I89" s="1"/>
    </row>
    <row r="90" spans="1:9" x14ac:dyDescent="0.3">
      <c r="A90" s="1">
        <f t="shared" si="7"/>
        <v>0</v>
      </c>
      <c r="C90" s="1" cm="1">
        <f t="array" ref="C90">_xlfn.IFS(Projections!AW90+Projections!BG90&lt;=0,0,AND(NOT(ISBLANK(Setup!C$10)),Projections!A90&gt;65,Projections!B90&gt;65),Projections!AW90+Projections!BG90-M$15,AND(NOT(ISBLANK(Setup!C$10)),OR(Projections!A90&gt;65,Projections!B90&gt;65)),Projections!AW90+Projections!BG90-L$15,Projections!A90&gt;65,Projections!AW90+Projections!BG90-L$15,1,Projections!AW90+Projections!BG90-K$15)</f>
        <v>0</v>
      </c>
      <c r="D90" s="1">
        <f t="shared" si="8"/>
        <v>0</v>
      </c>
      <c r="E90" s="18">
        <f t="shared" si="9"/>
        <v>0</v>
      </c>
      <c r="F90" s="1">
        <f t="shared" si="10"/>
        <v>0</v>
      </c>
      <c r="H90" s="1"/>
      <c r="I90" s="1"/>
    </row>
    <row r="91" spans="1:9" x14ac:dyDescent="0.3">
      <c r="A91" s="1">
        <f t="shared" si="7"/>
        <v>0</v>
      </c>
      <c r="C91" s="1" cm="1">
        <f t="array" ref="C91">_xlfn.IFS(Projections!AW91+Projections!BG91&lt;=0,0,AND(NOT(ISBLANK(Setup!C$10)),Projections!A91&gt;65,Projections!B91&gt;65),Projections!AW91+Projections!BG91-M$15,AND(NOT(ISBLANK(Setup!C$10)),OR(Projections!A91&gt;65,Projections!B91&gt;65)),Projections!AW91+Projections!BG91-L$15,Projections!A91&gt;65,Projections!AW91+Projections!BG91-L$15,1,Projections!AW91+Projections!BG91-K$15)</f>
        <v>0</v>
      </c>
      <c r="D91" s="1">
        <f t="shared" si="8"/>
        <v>0</v>
      </c>
      <c r="E91" s="18">
        <f t="shared" si="9"/>
        <v>0</v>
      </c>
      <c r="F91" s="1">
        <f t="shared" si="10"/>
        <v>0</v>
      </c>
      <c r="H91" s="1"/>
      <c r="I91" s="1"/>
    </row>
    <row r="92" spans="1:9" x14ac:dyDescent="0.3">
      <c r="A92" s="1">
        <f t="shared" si="7"/>
        <v>0</v>
      </c>
      <c r="C92" s="1" cm="1">
        <f t="array" ref="C92">_xlfn.IFS(Projections!AW92+Projections!BG92&lt;=0,0,AND(NOT(ISBLANK(Setup!C$10)),Projections!A92&gt;65,Projections!B92&gt;65),Projections!AW92+Projections!BG92-M$15,AND(NOT(ISBLANK(Setup!C$10)),OR(Projections!A92&gt;65,Projections!B92&gt;65)),Projections!AW92+Projections!BG92-L$15,Projections!A92&gt;65,Projections!AW92+Projections!BG92-L$15,1,Projections!AW92+Projections!BG92-K$15)</f>
        <v>0</v>
      </c>
      <c r="D92" s="1">
        <f t="shared" si="8"/>
        <v>0</v>
      </c>
      <c r="E92" s="18">
        <f t="shared" si="9"/>
        <v>0</v>
      </c>
      <c r="F92" s="1">
        <f t="shared" si="10"/>
        <v>0</v>
      </c>
      <c r="H92" s="1"/>
      <c r="I92" s="1"/>
    </row>
    <row r="104" spans="1:6" x14ac:dyDescent="0.3">
      <c r="A104" s="451" t="s">
        <v>173</v>
      </c>
      <c r="B104" s="452"/>
      <c r="C104" s="452"/>
      <c r="D104" s="452"/>
      <c r="E104" s="452"/>
      <c r="F104" s="453"/>
    </row>
    <row r="105" spans="1:6" x14ac:dyDescent="0.3">
      <c r="A105" s="243" t="s">
        <v>2</v>
      </c>
      <c r="C105" s="243" t="s">
        <v>144</v>
      </c>
      <c r="D105" s="128" t="s">
        <v>113</v>
      </c>
      <c r="E105" s="128" t="s">
        <v>114</v>
      </c>
      <c r="F105" s="128" t="s">
        <v>115</v>
      </c>
    </row>
    <row r="106" spans="1:6" ht="15" thickBot="1" x14ac:dyDescent="0.35">
      <c r="A106" s="230" t="s">
        <v>108</v>
      </c>
      <c r="C106" s="291" t="s">
        <v>96</v>
      </c>
      <c r="D106" s="155" t="s">
        <v>108</v>
      </c>
      <c r="E106" s="155" t="s">
        <v>108</v>
      </c>
      <c r="F106" s="155" t="s">
        <v>108</v>
      </c>
    </row>
    <row r="107" spans="1:6" x14ac:dyDescent="0.3">
      <c r="A107" s="1">
        <f t="shared" ref="A107:A170" si="11">D107+F107</f>
        <v>0</v>
      </c>
      <c r="C107" s="1">
        <f>IF(Projections!BS7&gt;0,Projections!BS7,0)</f>
        <v>0</v>
      </c>
      <c r="D107" s="1">
        <f t="shared" ref="D107:D138" si="12">-C107*K$19</f>
        <v>0</v>
      </c>
      <c r="E107" s="18">
        <f t="shared" ref="E107:E138" si="13">IF(C107=0,0,-D107/C107)</f>
        <v>0</v>
      </c>
      <c r="F107" s="1">
        <f t="shared" ref="F107:F138" si="14">IF(C107=0,0,(D107*E107^2)+(D107*E107^3)+(D107*E107^4)+(D107*E107^5)+(D107*E107^6)+(D107*E107^7)+(D107*E107^8)+(D107*E107^9)+(D107*E107^10))</f>
        <v>0</v>
      </c>
    </row>
    <row r="108" spans="1:6" x14ac:dyDescent="0.3">
      <c r="A108" s="1">
        <f t="shared" si="11"/>
        <v>0</v>
      </c>
      <c r="C108" s="1">
        <f>IF(Projections!BS8&gt;0,Projections!BS8,0)</f>
        <v>0</v>
      </c>
      <c r="D108" s="1">
        <f t="shared" si="12"/>
        <v>0</v>
      </c>
      <c r="E108" s="18">
        <f t="shared" si="13"/>
        <v>0</v>
      </c>
      <c r="F108" s="1">
        <f t="shared" si="14"/>
        <v>0</v>
      </c>
    </row>
    <row r="109" spans="1:6" x14ac:dyDescent="0.3">
      <c r="A109" s="1">
        <f t="shared" si="11"/>
        <v>0</v>
      </c>
      <c r="C109" s="1">
        <f>IF(Projections!BS9&gt;0,Projections!BS9,0)</f>
        <v>0</v>
      </c>
      <c r="D109" s="1">
        <f t="shared" si="12"/>
        <v>0</v>
      </c>
      <c r="E109" s="18">
        <f t="shared" si="13"/>
        <v>0</v>
      </c>
      <c r="F109" s="1">
        <f t="shared" si="14"/>
        <v>0</v>
      </c>
    </row>
    <row r="110" spans="1:6" x14ac:dyDescent="0.3">
      <c r="A110" s="1">
        <f t="shared" si="11"/>
        <v>0</v>
      </c>
      <c r="C110" s="1">
        <f>IF(Projections!BS10&gt;0,Projections!BS10,0)</f>
        <v>0</v>
      </c>
      <c r="D110" s="1">
        <f t="shared" si="12"/>
        <v>0</v>
      </c>
      <c r="E110" s="18">
        <f t="shared" si="13"/>
        <v>0</v>
      </c>
      <c r="F110" s="1">
        <f t="shared" si="14"/>
        <v>0</v>
      </c>
    </row>
    <row r="111" spans="1:6" x14ac:dyDescent="0.3">
      <c r="A111" s="1">
        <f t="shared" si="11"/>
        <v>0</v>
      </c>
      <c r="C111" s="1">
        <f>IF(Projections!BS11&gt;0,Projections!BS11,0)</f>
        <v>0</v>
      </c>
      <c r="D111" s="1">
        <f t="shared" si="12"/>
        <v>0</v>
      </c>
      <c r="E111" s="18">
        <f t="shared" si="13"/>
        <v>0</v>
      </c>
      <c r="F111" s="1">
        <f t="shared" si="14"/>
        <v>0</v>
      </c>
    </row>
    <row r="112" spans="1:6" x14ac:dyDescent="0.3">
      <c r="A112" s="1">
        <f t="shared" si="11"/>
        <v>0</v>
      </c>
      <c r="C112" s="1">
        <f>IF(Projections!BS12&gt;0,Projections!BS12,0)</f>
        <v>0</v>
      </c>
      <c r="D112" s="1">
        <f t="shared" si="12"/>
        <v>0</v>
      </c>
      <c r="E112" s="18">
        <f t="shared" si="13"/>
        <v>0</v>
      </c>
      <c r="F112" s="1">
        <f t="shared" si="14"/>
        <v>0</v>
      </c>
    </row>
    <row r="113" spans="1:6" x14ac:dyDescent="0.3">
      <c r="A113" s="1">
        <f t="shared" si="11"/>
        <v>0</v>
      </c>
      <c r="C113" s="1">
        <f>IF(Projections!BS13&gt;0,Projections!BS13,0)</f>
        <v>0</v>
      </c>
      <c r="D113" s="1">
        <f t="shared" si="12"/>
        <v>0</v>
      </c>
      <c r="E113" s="18">
        <f t="shared" si="13"/>
        <v>0</v>
      </c>
      <c r="F113" s="1">
        <f t="shared" si="14"/>
        <v>0</v>
      </c>
    </row>
    <row r="114" spans="1:6" x14ac:dyDescent="0.3">
      <c r="A114" s="1">
        <f t="shared" si="11"/>
        <v>0</v>
      </c>
      <c r="C114" s="1">
        <f>IF(Projections!BS14&gt;0,Projections!BS14,0)</f>
        <v>0</v>
      </c>
      <c r="D114" s="1">
        <f t="shared" si="12"/>
        <v>0</v>
      </c>
      <c r="E114" s="18">
        <f t="shared" si="13"/>
        <v>0</v>
      </c>
      <c r="F114" s="1">
        <f t="shared" si="14"/>
        <v>0</v>
      </c>
    </row>
    <row r="115" spans="1:6" x14ac:dyDescent="0.3">
      <c r="A115" s="1">
        <f t="shared" si="11"/>
        <v>0</v>
      </c>
      <c r="C115" s="1">
        <f>IF(Projections!BS15&gt;0,Projections!BS15,0)</f>
        <v>0</v>
      </c>
      <c r="D115" s="1">
        <f t="shared" si="12"/>
        <v>0</v>
      </c>
      <c r="E115" s="18">
        <f t="shared" si="13"/>
        <v>0</v>
      </c>
      <c r="F115" s="1">
        <f t="shared" si="14"/>
        <v>0</v>
      </c>
    </row>
    <row r="116" spans="1:6" x14ac:dyDescent="0.3">
      <c r="A116" s="1">
        <f t="shared" si="11"/>
        <v>0</v>
      </c>
      <c r="C116" s="1">
        <f>IF(Projections!BS16&gt;0,Projections!BS16,0)</f>
        <v>0</v>
      </c>
      <c r="D116" s="1">
        <f t="shared" si="12"/>
        <v>0</v>
      </c>
      <c r="E116" s="18">
        <f t="shared" si="13"/>
        <v>0</v>
      </c>
      <c r="F116" s="1">
        <f t="shared" si="14"/>
        <v>0</v>
      </c>
    </row>
    <row r="117" spans="1:6" x14ac:dyDescent="0.3">
      <c r="A117" s="1">
        <f t="shared" si="11"/>
        <v>0</v>
      </c>
      <c r="C117" s="1">
        <f>IF(Projections!BS17&gt;0,Projections!BS17,0)</f>
        <v>0</v>
      </c>
      <c r="D117" s="1">
        <f t="shared" si="12"/>
        <v>0</v>
      </c>
      <c r="E117" s="18">
        <f t="shared" si="13"/>
        <v>0</v>
      </c>
      <c r="F117" s="1">
        <f t="shared" si="14"/>
        <v>0</v>
      </c>
    </row>
    <row r="118" spans="1:6" x14ac:dyDescent="0.3">
      <c r="A118" s="1">
        <f t="shared" si="11"/>
        <v>0</v>
      </c>
      <c r="C118" s="1">
        <f>IF(Projections!BS18&gt;0,Projections!BS18,0)</f>
        <v>0</v>
      </c>
      <c r="D118" s="1">
        <f t="shared" si="12"/>
        <v>0</v>
      </c>
      <c r="E118" s="18">
        <f t="shared" si="13"/>
        <v>0</v>
      </c>
      <c r="F118" s="1">
        <f t="shared" si="14"/>
        <v>0</v>
      </c>
    </row>
    <row r="119" spans="1:6" x14ac:dyDescent="0.3">
      <c r="A119" s="1">
        <f t="shared" si="11"/>
        <v>0</v>
      </c>
      <c r="C119" s="1">
        <f>IF(Projections!BS19&gt;0,Projections!BS19,0)</f>
        <v>0</v>
      </c>
      <c r="D119" s="1">
        <f t="shared" si="12"/>
        <v>0</v>
      </c>
      <c r="E119" s="18">
        <f t="shared" si="13"/>
        <v>0</v>
      </c>
      <c r="F119" s="1">
        <f t="shared" si="14"/>
        <v>0</v>
      </c>
    </row>
    <row r="120" spans="1:6" x14ac:dyDescent="0.3">
      <c r="A120" s="1">
        <f t="shared" si="11"/>
        <v>0</v>
      </c>
      <c r="C120" s="1">
        <f>IF(Projections!BS20&gt;0,Projections!BS20,0)</f>
        <v>0</v>
      </c>
      <c r="D120" s="1">
        <f t="shared" si="12"/>
        <v>0</v>
      </c>
      <c r="E120" s="18">
        <f t="shared" si="13"/>
        <v>0</v>
      </c>
      <c r="F120" s="1">
        <f t="shared" si="14"/>
        <v>0</v>
      </c>
    </row>
    <row r="121" spans="1:6" x14ac:dyDescent="0.3">
      <c r="A121" s="1">
        <f t="shared" si="11"/>
        <v>0</v>
      </c>
      <c r="C121" s="1">
        <f>IF(Projections!BS21&gt;0,Projections!BS21,0)</f>
        <v>0</v>
      </c>
      <c r="D121" s="1">
        <f t="shared" si="12"/>
        <v>0</v>
      </c>
      <c r="E121" s="18">
        <f t="shared" si="13"/>
        <v>0</v>
      </c>
      <c r="F121" s="1">
        <f t="shared" si="14"/>
        <v>0</v>
      </c>
    </row>
    <row r="122" spans="1:6" x14ac:dyDescent="0.3">
      <c r="A122" s="1">
        <f t="shared" si="11"/>
        <v>0</v>
      </c>
      <c r="C122" s="1">
        <f>IF(Projections!BS22&gt;0,Projections!BS22,0)</f>
        <v>0</v>
      </c>
      <c r="D122" s="1">
        <f t="shared" si="12"/>
        <v>0</v>
      </c>
      <c r="E122" s="18">
        <f t="shared" si="13"/>
        <v>0</v>
      </c>
      <c r="F122" s="1">
        <f t="shared" si="14"/>
        <v>0</v>
      </c>
    </row>
    <row r="123" spans="1:6" x14ac:dyDescent="0.3">
      <c r="A123" s="1">
        <f t="shared" si="11"/>
        <v>0</v>
      </c>
      <c r="C123" s="1">
        <f>IF(Projections!BS23&gt;0,Projections!BS23,0)</f>
        <v>0</v>
      </c>
      <c r="D123" s="1">
        <f t="shared" si="12"/>
        <v>0</v>
      </c>
      <c r="E123" s="18">
        <f t="shared" si="13"/>
        <v>0</v>
      </c>
      <c r="F123" s="1">
        <f t="shared" si="14"/>
        <v>0</v>
      </c>
    </row>
    <row r="124" spans="1:6" x14ac:dyDescent="0.3">
      <c r="A124" s="1">
        <f t="shared" si="11"/>
        <v>0</v>
      </c>
      <c r="C124" s="1">
        <f>IF(Projections!BS24&gt;0,Projections!BS24,0)</f>
        <v>0</v>
      </c>
      <c r="D124" s="1">
        <f t="shared" si="12"/>
        <v>0</v>
      </c>
      <c r="E124" s="18">
        <f t="shared" si="13"/>
        <v>0</v>
      </c>
      <c r="F124" s="1">
        <f t="shared" si="14"/>
        <v>0</v>
      </c>
    </row>
    <row r="125" spans="1:6" x14ac:dyDescent="0.3">
      <c r="A125" s="1">
        <f t="shared" si="11"/>
        <v>0</v>
      </c>
      <c r="C125" s="1">
        <f>IF(Projections!BS25&gt;0,Projections!BS25,0)</f>
        <v>0</v>
      </c>
      <c r="D125" s="1">
        <f t="shared" si="12"/>
        <v>0</v>
      </c>
      <c r="E125" s="18">
        <f t="shared" si="13"/>
        <v>0</v>
      </c>
      <c r="F125" s="1">
        <f t="shared" si="14"/>
        <v>0</v>
      </c>
    </row>
    <row r="126" spans="1:6" x14ac:dyDescent="0.3">
      <c r="A126" s="1">
        <f t="shared" si="11"/>
        <v>0</v>
      </c>
      <c r="C126" s="1">
        <f>IF(Projections!BS26&gt;0,Projections!BS26,0)</f>
        <v>0</v>
      </c>
      <c r="D126" s="1">
        <f t="shared" si="12"/>
        <v>0</v>
      </c>
      <c r="E126" s="18">
        <f t="shared" si="13"/>
        <v>0</v>
      </c>
      <c r="F126" s="1">
        <f t="shared" si="14"/>
        <v>0</v>
      </c>
    </row>
    <row r="127" spans="1:6" x14ac:dyDescent="0.3">
      <c r="A127" s="1">
        <f t="shared" si="11"/>
        <v>0</v>
      </c>
      <c r="C127" s="1">
        <f>IF(Projections!BS27&gt;0,Projections!BS27,0)</f>
        <v>0</v>
      </c>
      <c r="D127" s="1">
        <f t="shared" si="12"/>
        <v>0</v>
      </c>
      <c r="E127" s="18">
        <f t="shared" si="13"/>
        <v>0</v>
      </c>
      <c r="F127" s="1">
        <f t="shared" si="14"/>
        <v>0</v>
      </c>
    </row>
    <row r="128" spans="1:6" x14ac:dyDescent="0.3">
      <c r="A128" s="1">
        <f t="shared" si="11"/>
        <v>0</v>
      </c>
      <c r="C128" s="1">
        <f>IF(Projections!BS28&gt;0,Projections!BS28,0)</f>
        <v>0</v>
      </c>
      <c r="D128" s="1">
        <f t="shared" si="12"/>
        <v>0</v>
      </c>
      <c r="E128" s="18">
        <f t="shared" si="13"/>
        <v>0</v>
      </c>
      <c r="F128" s="1">
        <f t="shared" si="14"/>
        <v>0</v>
      </c>
    </row>
    <row r="129" spans="1:6" x14ac:dyDescent="0.3">
      <c r="A129" s="1">
        <f t="shared" si="11"/>
        <v>0</v>
      </c>
      <c r="C129" s="1">
        <f>IF(Projections!BS29&gt;0,Projections!BS29,0)</f>
        <v>0</v>
      </c>
      <c r="D129" s="1">
        <f t="shared" si="12"/>
        <v>0</v>
      </c>
      <c r="E129" s="18">
        <f t="shared" si="13"/>
        <v>0</v>
      </c>
      <c r="F129" s="1">
        <f t="shared" si="14"/>
        <v>0</v>
      </c>
    </row>
    <row r="130" spans="1:6" x14ac:dyDescent="0.3">
      <c r="A130" s="1">
        <f t="shared" si="11"/>
        <v>0</v>
      </c>
      <c r="C130" s="1">
        <f>IF(Projections!BS30&gt;0,Projections!BS30,0)</f>
        <v>0</v>
      </c>
      <c r="D130" s="1">
        <f t="shared" si="12"/>
        <v>0</v>
      </c>
      <c r="E130" s="18">
        <f t="shared" si="13"/>
        <v>0</v>
      </c>
      <c r="F130" s="1">
        <f t="shared" si="14"/>
        <v>0</v>
      </c>
    </row>
    <row r="131" spans="1:6" x14ac:dyDescent="0.3">
      <c r="A131" s="1">
        <f t="shared" si="11"/>
        <v>0</v>
      </c>
      <c r="C131" s="1">
        <f>IF(Projections!BS31&gt;0,Projections!BS31,0)</f>
        <v>0</v>
      </c>
      <c r="D131" s="1">
        <f t="shared" si="12"/>
        <v>0</v>
      </c>
      <c r="E131" s="18">
        <f t="shared" si="13"/>
        <v>0</v>
      </c>
      <c r="F131" s="1">
        <f t="shared" si="14"/>
        <v>0</v>
      </c>
    </row>
    <row r="132" spans="1:6" x14ac:dyDescent="0.3">
      <c r="A132" s="1">
        <f t="shared" si="11"/>
        <v>0</v>
      </c>
      <c r="C132" s="1">
        <f>IF(Projections!BS32&gt;0,Projections!BS32,0)</f>
        <v>0</v>
      </c>
      <c r="D132" s="1">
        <f t="shared" si="12"/>
        <v>0</v>
      </c>
      <c r="E132" s="18">
        <f t="shared" si="13"/>
        <v>0</v>
      </c>
      <c r="F132" s="1">
        <f t="shared" si="14"/>
        <v>0</v>
      </c>
    </row>
    <row r="133" spans="1:6" x14ac:dyDescent="0.3">
      <c r="A133" s="1">
        <f t="shared" si="11"/>
        <v>0</v>
      </c>
      <c r="C133" s="1">
        <f>IF(Projections!BS33&gt;0,Projections!BS33,0)</f>
        <v>0</v>
      </c>
      <c r="D133" s="1">
        <f t="shared" si="12"/>
        <v>0</v>
      </c>
      <c r="E133" s="18">
        <f t="shared" si="13"/>
        <v>0</v>
      </c>
      <c r="F133" s="1">
        <f t="shared" si="14"/>
        <v>0</v>
      </c>
    </row>
    <row r="134" spans="1:6" x14ac:dyDescent="0.3">
      <c r="A134" s="1">
        <f t="shared" si="11"/>
        <v>0</v>
      </c>
      <c r="C134" s="1">
        <f>IF(Projections!BS34&gt;0,Projections!BS34,0)</f>
        <v>0</v>
      </c>
      <c r="D134" s="1">
        <f t="shared" si="12"/>
        <v>0</v>
      </c>
      <c r="E134" s="18">
        <f t="shared" si="13"/>
        <v>0</v>
      </c>
      <c r="F134" s="1">
        <f t="shared" si="14"/>
        <v>0</v>
      </c>
    </row>
    <row r="135" spans="1:6" x14ac:dyDescent="0.3">
      <c r="A135" s="1">
        <f t="shared" si="11"/>
        <v>0</v>
      </c>
      <c r="C135" s="1">
        <f>IF(Projections!BS35&gt;0,Projections!BS35,0)</f>
        <v>0</v>
      </c>
      <c r="D135" s="1">
        <f t="shared" si="12"/>
        <v>0</v>
      </c>
      <c r="E135" s="18">
        <f t="shared" si="13"/>
        <v>0</v>
      </c>
      <c r="F135" s="1">
        <f t="shared" si="14"/>
        <v>0</v>
      </c>
    </row>
    <row r="136" spans="1:6" x14ac:dyDescent="0.3">
      <c r="A136" s="1">
        <f t="shared" si="11"/>
        <v>0</v>
      </c>
      <c r="C136" s="1">
        <f>IF(Projections!BS36&gt;0,Projections!BS36,0)</f>
        <v>0</v>
      </c>
      <c r="D136" s="1">
        <f t="shared" si="12"/>
        <v>0</v>
      </c>
      <c r="E136" s="18">
        <f t="shared" si="13"/>
        <v>0</v>
      </c>
      <c r="F136" s="1">
        <f t="shared" si="14"/>
        <v>0</v>
      </c>
    </row>
    <row r="137" spans="1:6" x14ac:dyDescent="0.3">
      <c r="A137" s="1">
        <f t="shared" si="11"/>
        <v>0</v>
      </c>
      <c r="C137" s="1">
        <f>IF(Projections!BS37&gt;0,Projections!BS37,0)</f>
        <v>0</v>
      </c>
      <c r="D137" s="1">
        <f t="shared" si="12"/>
        <v>0</v>
      </c>
      <c r="E137" s="18">
        <f t="shared" si="13"/>
        <v>0</v>
      </c>
      <c r="F137" s="1">
        <f t="shared" si="14"/>
        <v>0</v>
      </c>
    </row>
    <row r="138" spans="1:6" x14ac:dyDescent="0.3">
      <c r="A138" s="1">
        <f t="shared" si="11"/>
        <v>0</v>
      </c>
      <c r="C138" s="1">
        <f>IF(Projections!BS38&gt;0,Projections!BS38,0)</f>
        <v>0</v>
      </c>
      <c r="D138" s="1">
        <f t="shared" si="12"/>
        <v>0</v>
      </c>
      <c r="E138" s="18">
        <f t="shared" si="13"/>
        <v>0</v>
      </c>
      <c r="F138" s="1">
        <f t="shared" si="14"/>
        <v>0</v>
      </c>
    </row>
    <row r="139" spans="1:6" x14ac:dyDescent="0.3">
      <c r="A139" s="1">
        <f t="shared" si="11"/>
        <v>0</v>
      </c>
      <c r="C139" s="1">
        <f>IF(Projections!BS39&gt;0,Projections!BS39,0)</f>
        <v>0</v>
      </c>
      <c r="D139" s="1">
        <f t="shared" ref="D139:D170" si="15">-C139*K$19</f>
        <v>0</v>
      </c>
      <c r="E139" s="18">
        <f t="shared" ref="E139:E170" si="16">IF(C139=0,0,-D139/C139)</f>
        <v>0</v>
      </c>
      <c r="F139" s="1">
        <f t="shared" ref="F139:F170" si="17">IF(C139=0,0,(D139*E139^2)+(D139*E139^3)+(D139*E139^4)+(D139*E139^5)+(D139*E139^6)+(D139*E139^7)+(D139*E139^8)+(D139*E139^9)+(D139*E139^10))</f>
        <v>0</v>
      </c>
    </row>
    <row r="140" spans="1:6" x14ac:dyDescent="0.3">
      <c r="A140" s="1">
        <f t="shared" si="11"/>
        <v>0</v>
      </c>
      <c r="C140" s="1">
        <f>IF(Projections!BS40&gt;0,Projections!BS40,0)</f>
        <v>0</v>
      </c>
      <c r="D140" s="1">
        <f t="shared" si="15"/>
        <v>0</v>
      </c>
      <c r="E140" s="18">
        <f t="shared" si="16"/>
        <v>0</v>
      </c>
      <c r="F140" s="1">
        <f t="shared" si="17"/>
        <v>0</v>
      </c>
    </row>
    <row r="141" spans="1:6" x14ac:dyDescent="0.3">
      <c r="A141" s="1">
        <f t="shared" si="11"/>
        <v>0</v>
      </c>
      <c r="C141" s="1">
        <f>IF(Projections!BS41&gt;0,Projections!BS41,0)</f>
        <v>0</v>
      </c>
      <c r="D141" s="1">
        <f t="shared" si="15"/>
        <v>0</v>
      </c>
      <c r="E141" s="18">
        <f t="shared" si="16"/>
        <v>0</v>
      </c>
      <c r="F141" s="1">
        <f t="shared" si="17"/>
        <v>0</v>
      </c>
    </row>
    <row r="142" spans="1:6" x14ac:dyDescent="0.3">
      <c r="A142" s="1">
        <f t="shared" si="11"/>
        <v>0</v>
      </c>
      <c r="C142" s="1">
        <f>IF(Projections!BS42&gt;0,Projections!BS42,0)</f>
        <v>0</v>
      </c>
      <c r="D142" s="1">
        <f t="shared" si="15"/>
        <v>0</v>
      </c>
      <c r="E142" s="18">
        <f t="shared" si="16"/>
        <v>0</v>
      </c>
      <c r="F142" s="1">
        <f t="shared" si="17"/>
        <v>0</v>
      </c>
    </row>
    <row r="143" spans="1:6" x14ac:dyDescent="0.3">
      <c r="A143" s="1">
        <f t="shared" si="11"/>
        <v>0</v>
      </c>
      <c r="C143" s="1">
        <f>IF(Projections!BS43&gt;0,Projections!BS43,0)</f>
        <v>0</v>
      </c>
      <c r="D143" s="1">
        <f t="shared" si="15"/>
        <v>0</v>
      </c>
      <c r="E143" s="18">
        <f t="shared" si="16"/>
        <v>0</v>
      </c>
      <c r="F143" s="1">
        <f t="shared" si="17"/>
        <v>0</v>
      </c>
    </row>
    <row r="144" spans="1:6" x14ac:dyDescent="0.3">
      <c r="A144" s="1">
        <f t="shared" si="11"/>
        <v>0</v>
      </c>
      <c r="C144" s="1">
        <f>IF(Projections!BS44&gt;0,Projections!BS44,0)</f>
        <v>0</v>
      </c>
      <c r="D144" s="1">
        <f t="shared" si="15"/>
        <v>0</v>
      </c>
      <c r="E144" s="18">
        <f t="shared" si="16"/>
        <v>0</v>
      </c>
      <c r="F144" s="1">
        <f t="shared" si="17"/>
        <v>0</v>
      </c>
    </row>
    <row r="145" spans="1:6" x14ac:dyDescent="0.3">
      <c r="A145" s="1">
        <f t="shared" si="11"/>
        <v>0</v>
      </c>
      <c r="C145" s="1">
        <f>IF(Projections!BS45&gt;0,Projections!BS45,0)</f>
        <v>0</v>
      </c>
      <c r="D145" s="1">
        <f t="shared" si="15"/>
        <v>0</v>
      </c>
      <c r="E145" s="18">
        <f t="shared" si="16"/>
        <v>0</v>
      </c>
      <c r="F145" s="1">
        <f t="shared" si="17"/>
        <v>0</v>
      </c>
    </row>
    <row r="146" spans="1:6" x14ac:dyDescent="0.3">
      <c r="A146" s="1">
        <f t="shared" si="11"/>
        <v>0</v>
      </c>
      <c r="C146" s="1">
        <f>IF(Projections!BS46&gt;0,Projections!BS46,0)</f>
        <v>0</v>
      </c>
      <c r="D146" s="1">
        <f t="shared" si="15"/>
        <v>0</v>
      </c>
      <c r="E146" s="18">
        <f t="shared" si="16"/>
        <v>0</v>
      </c>
      <c r="F146" s="1">
        <f t="shared" si="17"/>
        <v>0</v>
      </c>
    </row>
    <row r="147" spans="1:6" x14ac:dyDescent="0.3">
      <c r="A147" s="1">
        <f t="shared" si="11"/>
        <v>0</v>
      </c>
      <c r="C147" s="1">
        <f>IF(Projections!BS47&gt;0,Projections!BS47,0)</f>
        <v>0</v>
      </c>
      <c r="D147" s="1">
        <f t="shared" si="15"/>
        <v>0</v>
      </c>
      <c r="E147" s="18">
        <f t="shared" si="16"/>
        <v>0</v>
      </c>
      <c r="F147" s="1">
        <f t="shared" si="17"/>
        <v>0</v>
      </c>
    </row>
    <row r="148" spans="1:6" x14ac:dyDescent="0.3">
      <c r="A148" s="1">
        <f t="shared" si="11"/>
        <v>0</v>
      </c>
      <c r="C148" s="1">
        <f>IF(Projections!BS48&gt;0,Projections!BS48,0)</f>
        <v>0</v>
      </c>
      <c r="D148" s="1">
        <f t="shared" si="15"/>
        <v>0</v>
      </c>
      <c r="E148" s="18">
        <f t="shared" si="16"/>
        <v>0</v>
      </c>
      <c r="F148" s="1">
        <f t="shared" si="17"/>
        <v>0</v>
      </c>
    </row>
    <row r="149" spans="1:6" x14ac:dyDescent="0.3">
      <c r="A149" s="1">
        <f t="shared" si="11"/>
        <v>0</v>
      </c>
      <c r="C149" s="1">
        <f>IF(Projections!BS49&gt;0,Projections!BS49,0)</f>
        <v>0</v>
      </c>
      <c r="D149" s="1">
        <f t="shared" si="15"/>
        <v>0</v>
      </c>
      <c r="E149" s="18">
        <f t="shared" si="16"/>
        <v>0</v>
      </c>
      <c r="F149" s="1">
        <f t="shared" si="17"/>
        <v>0</v>
      </c>
    </row>
    <row r="150" spans="1:6" x14ac:dyDescent="0.3">
      <c r="A150" s="1">
        <f t="shared" si="11"/>
        <v>0</v>
      </c>
      <c r="C150" s="1">
        <f>IF(Projections!BS50&gt;0,Projections!BS50,0)</f>
        <v>0</v>
      </c>
      <c r="D150" s="1">
        <f t="shared" si="15"/>
        <v>0</v>
      </c>
      <c r="E150" s="18">
        <f t="shared" si="16"/>
        <v>0</v>
      </c>
      <c r="F150" s="1">
        <f t="shared" si="17"/>
        <v>0</v>
      </c>
    </row>
    <row r="151" spans="1:6" x14ac:dyDescent="0.3">
      <c r="A151" s="1">
        <f t="shared" si="11"/>
        <v>0</v>
      </c>
      <c r="C151" s="1">
        <f>IF(Projections!BS51&gt;0,Projections!BS51,0)</f>
        <v>0</v>
      </c>
      <c r="D151" s="1">
        <f t="shared" si="15"/>
        <v>0</v>
      </c>
      <c r="E151" s="18">
        <f t="shared" si="16"/>
        <v>0</v>
      </c>
      <c r="F151" s="1">
        <f t="shared" si="17"/>
        <v>0</v>
      </c>
    </row>
    <row r="152" spans="1:6" x14ac:dyDescent="0.3">
      <c r="A152" s="1">
        <f t="shared" si="11"/>
        <v>0</v>
      </c>
      <c r="C152" s="1">
        <f>IF(Projections!BS52&gt;0,Projections!BS52,0)</f>
        <v>0</v>
      </c>
      <c r="D152" s="1">
        <f t="shared" si="15"/>
        <v>0</v>
      </c>
      <c r="E152" s="18">
        <f t="shared" si="16"/>
        <v>0</v>
      </c>
      <c r="F152" s="1">
        <f t="shared" si="17"/>
        <v>0</v>
      </c>
    </row>
    <row r="153" spans="1:6" x14ac:dyDescent="0.3">
      <c r="A153" s="1">
        <f t="shared" si="11"/>
        <v>0</v>
      </c>
      <c r="C153" s="1">
        <f>IF(Projections!BS53&gt;0,Projections!BS53,0)</f>
        <v>0</v>
      </c>
      <c r="D153" s="1">
        <f t="shared" si="15"/>
        <v>0</v>
      </c>
      <c r="E153" s="18">
        <f t="shared" si="16"/>
        <v>0</v>
      </c>
      <c r="F153" s="1">
        <f t="shared" si="17"/>
        <v>0</v>
      </c>
    </row>
    <row r="154" spans="1:6" x14ac:dyDescent="0.3">
      <c r="A154" s="1">
        <f t="shared" si="11"/>
        <v>0</v>
      </c>
      <c r="C154" s="1">
        <f>IF(Projections!BS54&gt;0,Projections!BS54,0)</f>
        <v>0</v>
      </c>
      <c r="D154" s="1">
        <f t="shared" si="15"/>
        <v>0</v>
      </c>
      <c r="E154" s="18">
        <f t="shared" si="16"/>
        <v>0</v>
      </c>
      <c r="F154" s="1">
        <f t="shared" si="17"/>
        <v>0</v>
      </c>
    </row>
    <row r="155" spans="1:6" x14ac:dyDescent="0.3">
      <c r="A155" s="1">
        <f t="shared" si="11"/>
        <v>0</v>
      </c>
      <c r="C155" s="1">
        <f>IF(Projections!BS55&gt;0,Projections!BS55,0)</f>
        <v>0</v>
      </c>
      <c r="D155" s="1">
        <f t="shared" si="15"/>
        <v>0</v>
      </c>
      <c r="E155" s="18">
        <f t="shared" si="16"/>
        <v>0</v>
      </c>
      <c r="F155" s="1">
        <f t="shared" si="17"/>
        <v>0</v>
      </c>
    </row>
    <row r="156" spans="1:6" x14ac:dyDescent="0.3">
      <c r="A156" s="1">
        <f t="shared" si="11"/>
        <v>0</v>
      </c>
      <c r="C156" s="1">
        <f>IF(Projections!BS56&gt;0,Projections!BS56,0)</f>
        <v>0</v>
      </c>
      <c r="D156" s="1">
        <f t="shared" si="15"/>
        <v>0</v>
      </c>
      <c r="E156" s="18">
        <f t="shared" si="16"/>
        <v>0</v>
      </c>
      <c r="F156" s="1">
        <f t="shared" si="17"/>
        <v>0</v>
      </c>
    </row>
    <row r="157" spans="1:6" x14ac:dyDescent="0.3">
      <c r="A157" s="1">
        <f t="shared" si="11"/>
        <v>0</v>
      </c>
      <c r="C157" s="1">
        <f>IF(Projections!BS57&gt;0,Projections!BS57,0)</f>
        <v>0</v>
      </c>
      <c r="D157" s="1">
        <f t="shared" si="15"/>
        <v>0</v>
      </c>
      <c r="E157" s="18">
        <f t="shared" si="16"/>
        <v>0</v>
      </c>
      <c r="F157" s="1">
        <f t="shared" si="17"/>
        <v>0</v>
      </c>
    </row>
    <row r="158" spans="1:6" x14ac:dyDescent="0.3">
      <c r="A158" s="1">
        <f t="shared" si="11"/>
        <v>0</v>
      </c>
      <c r="C158" s="1">
        <f>IF(Projections!BS58&gt;0,Projections!BS58,0)</f>
        <v>0</v>
      </c>
      <c r="D158" s="1">
        <f t="shared" si="15"/>
        <v>0</v>
      </c>
      <c r="E158" s="18">
        <f t="shared" si="16"/>
        <v>0</v>
      </c>
      <c r="F158" s="1">
        <f t="shared" si="17"/>
        <v>0</v>
      </c>
    </row>
    <row r="159" spans="1:6" x14ac:dyDescent="0.3">
      <c r="A159" s="1">
        <f t="shared" si="11"/>
        <v>0</v>
      </c>
      <c r="C159" s="1">
        <f>IF(Projections!BS59&gt;0,Projections!BS59,0)</f>
        <v>0</v>
      </c>
      <c r="D159" s="1">
        <f t="shared" si="15"/>
        <v>0</v>
      </c>
      <c r="E159" s="18">
        <f t="shared" si="16"/>
        <v>0</v>
      </c>
      <c r="F159" s="1">
        <f t="shared" si="17"/>
        <v>0</v>
      </c>
    </row>
    <row r="160" spans="1:6" x14ac:dyDescent="0.3">
      <c r="A160" s="1">
        <f t="shared" si="11"/>
        <v>0</v>
      </c>
      <c r="C160" s="1">
        <f>IF(Projections!BS60&gt;0,Projections!BS60,0)</f>
        <v>0</v>
      </c>
      <c r="D160" s="1">
        <f t="shared" si="15"/>
        <v>0</v>
      </c>
      <c r="E160" s="18">
        <f t="shared" si="16"/>
        <v>0</v>
      </c>
      <c r="F160" s="1">
        <f t="shared" si="17"/>
        <v>0</v>
      </c>
    </row>
    <row r="161" spans="1:6" x14ac:dyDescent="0.3">
      <c r="A161" s="1">
        <f t="shared" si="11"/>
        <v>0</v>
      </c>
      <c r="C161" s="1">
        <f>IF(Projections!BS61&gt;0,Projections!BS61,0)</f>
        <v>0</v>
      </c>
      <c r="D161" s="1">
        <f t="shared" si="15"/>
        <v>0</v>
      </c>
      <c r="E161" s="18">
        <f t="shared" si="16"/>
        <v>0</v>
      </c>
      <c r="F161" s="1">
        <f t="shared" si="17"/>
        <v>0</v>
      </c>
    </row>
    <row r="162" spans="1:6" x14ac:dyDescent="0.3">
      <c r="A162" s="1">
        <f t="shared" si="11"/>
        <v>0</v>
      </c>
      <c r="C162" s="1">
        <f>IF(Projections!BS62&gt;0,Projections!BS62,0)</f>
        <v>0</v>
      </c>
      <c r="D162" s="1">
        <f t="shared" si="15"/>
        <v>0</v>
      </c>
      <c r="E162" s="18">
        <f t="shared" si="16"/>
        <v>0</v>
      </c>
      <c r="F162" s="1">
        <f t="shared" si="17"/>
        <v>0</v>
      </c>
    </row>
    <row r="163" spans="1:6" x14ac:dyDescent="0.3">
      <c r="A163" s="1">
        <f t="shared" si="11"/>
        <v>0</v>
      </c>
      <c r="C163" s="1">
        <f>IF(Projections!BS63&gt;0,Projections!BS63,0)</f>
        <v>0</v>
      </c>
      <c r="D163" s="1">
        <f t="shared" si="15"/>
        <v>0</v>
      </c>
      <c r="E163" s="18">
        <f t="shared" si="16"/>
        <v>0</v>
      </c>
      <c r="F163" s="1">
        <f t="shared" si="17"/>
        <v>0</v>
      </c>
    </row>
    <row r="164" spans="1:6" x14ac:dyDescent="0.3">
      <c r="A164" s="1">
        <f t="shared" si="11"/>
        <v>0</v>
      </c>
      <c r="C164" s="1">
        <f>IF(Projections!BS64&gt;0,Projections!BS64,0)</f>
        <v>0</v>
      </c>
      <c r="D164" s="1">
        <f t="shared" si="15"/>
        <v>0</v>
      </c>
      <c r="E164" s="18">
        <f t="shared" si="16"/>
        <v>0</v>
      </c>
      <c r="F164" s="1">
        <f t="shared" si="17"/>
        <v>0</v>
      </c>
    </row>
    <row r="165" spans="1:6" x14ac:dyDescent="0.3">
      <c r="A165" s="1">
        <f t="shared" si="11"/>
        <v>0</v>
      </c>
      <c r="C165" s="1">
        <f>IF(Projections!BS65&gt;0,Projections!BS65,0)</f>
        <v>0</v>
      </c>
      <c r="D165" s="1">
        <f t="shared" si="15"/>
        <v>0</v>
      </c>
      <c r="E165" s="18">
        <f t="shared" si="16"/>
        <v>0</v>
      </c>
      <c r="F165" s="1">
        <f t="shared" si="17"/>
        <v>0</v>
      </c>
    </row>
    <row r="166" spans="1:6" x14ac:dyDescent="0.3">
      <c r="A166" s="1">
        <f t="shared" si="11"/>
        <v>0</v>
      </c>
      <c r="C166" s="1">
        <f>IF(Projections!BS66&gt;0,Projections!BS66,0)</f>
        <v>0</v>
      </c>
      <c r="D166" s="1">
        <f t="shared" si="15"/>
        <v>0</v>
      </c>
      <c r="E166" s="18">
        <f t="shared" si="16"/>
        <v>0</v>
      </c>
      <c r="F166" s="1">
        <f t="shared" si="17"/>
        <v>0</v>
      </c>
    </row>
    <row r="167" spans="1:6" x14ac:dyDescent="0.3">
      <c r="A167" s="1">
        <f t="shared" si="11"/>
        <v>0</v>
      </c>
      <c r="C167" s="1">
        <f>IF(Projections!BS67&gt;0,Projections!BS67,0)</f>
        <v>0</v>
      </c>
      <c r="D167" s="1">
        <f t="shared" si="15"/>
        <v>0</v>
      </c>
      <c r="E167" s="18">
        <f t="shared" si="16"/>
        <v>0</v>
      </c>
      <c r="F167" s="1">
        <f t="shared" si="17"/>
        <v>0</v>
      </c>
    </row>
    <row r="168" spans="1:6" x14ac:dyDescent="0.3">
      <c r="A168" s="1">
        <f t="shared" si="11"/>
        <v>0</v>
      </c>
      <c r="C168" s="1">
        <f>IF(Projections!BS68&gt;0,Projections!BS68,0)</f>
        <v>0</v>
      </c>
      <c r="D168" s="1">
        <f t="shared" si="15"/>
        <v>0</v>
      </c>
      <c r="E168" s="18">
        <f t="shared" si="16"/>
        <v>0</v>
      </c>
      <c r="F168" s="1">
        <f t="shared" si="17"/>
        <v>0</v>
      </c>
    </row>
    <row r="169" spans="1:6" x14ac:dyDescent="0.3">
      <c r="A169" s="1">
        <f t="shared" si="11"/>
        <v>0</v>
      </c>
      <c r="C169" s="1">
        <f>IF(Projections!BS69&gt;0,Projections!BS69,0)</f>
        <v>0</v>
      </c>
      <c r="D169" s="1">
        <f t="shared" si="15"/>
        <v>0</v>
      </c>
      <c r="E169" s="18">
        <f t="shared" si="16"/>
        <v>0</v>
      </c>
      <c r="F169" s="1">
        <f t="shared" si="17"/>
        <v>0</v>
      </c>
    </row>
    <row r="170" spans="1:6" x14ac:dyDescent="0.3">
      <c r="A170" s="1">
        <f t="shared" si="11"/>
        <v>0</v>
      </c>
      <c r="C170" s="1">
        <f>IF(Projections!BS70&gt;0,Projections!BS70,0)</f>
        <v>0</v>
      </c>
      <c r="D170" s="1">
        <f t="shared" si="15"/>
        <v>0</v>
      </c>
      <c r="E170" s="18">
        <f t="shared" si="16"/>
        <v>0</v>
      </c>
      <c r="F170" s="1">
        <f t="shared" si="17"/>
        <v>0</v>
      </c>
    </row>
    <row r="171" spans="1:6" x14ac:dyDescent="0.3">
      <c r="A171" s="1">
        <f t="shared" ref="A171:A192" si="18">D171+F171</f>
        <v>0</v>
      </c>
      <c r="C171" s="1">
        <f>IF(Projections!BS71&gt;0,Projections!BS71,0)</f>
        <v>0</v>
      </c>
      <c r="D171" s="1">
        <f t="shared" ref="D171:D192" si="19">-C171*K$19</f>
        <v>0</v>
      </c>
      <c r="E171" s="18">
        <f t="shared" ref="E171:E192" si="20">IF(C171=0,0,-D171/C171)</f>
        <v>0</v>
      </c>
      <c r="F171" s="1">
        <f t="shared" ref="F171:F192" si="21">IF(C171=0,0,(D171*E171^2)+(D171*E171^3)+(D171*E171^4)+(D171*E171^5)+(D171*E171^6)+(D171*E171^7)+(D171*E171^8)+(D171*E171^9)+(D171*E171^10))</f>
        <v>0</v>
      </c>
    </row>
    <row r="172" spans="1:6" x14ac:dyDescent="0.3">
      <c r="A172" s="1">
        <f t="shared" si="18"/>
        <v>0</v>
      </c>
      <c r="C172" s="1">
        <f>IF(Projections!BS72&gt;0,Projections!BS72,0)</f>
        <v>0</v>
      </c>
      <c r="D172" s="1">
        <f t="shared" si="19"/>
        <v>0</v>
      </c>
      <c r="E172" s="18">
        <f t="shared" si="20"/>
        <v>0</v>
      </c>
      <c r="F172" s="1">
        <f t="shared" si="21"/>
        <v>0</v>
      </c>
    </row>
    <row r="173" spans="1:6" x14ac:dyDescent="0.3">
      <c r="A173" s="1">
        <f t="shared" si="18"/>
        <v>0</v>
      </c>
      <c r="C173" s="1">
        <f>IF(Projections!BS73&gt;0,Projections!BS73,0)</f>
        <v>0</v>
      </c>
      <c r="D173" s="1">
        <f t="shared" si="19"/>
        <v>0</v>
      </c>
      <c r="E173" s="18">
        <f t="shared" si="20"/>
        <v>0</v>
      </c>
      <c r="F173" s="1">
        <f t="shared" si="21"/>
        <v>0</v>
      </c>
    </row>
    <row r="174" spans="1:6" x14ac:dyDescent="0.3">
      <c r="A174" s="1">
        <f t="shared" si="18"/>
        <v>0</v>
      </c>
      <c r="C174" s="1">
        <f>IF(Projections!BS74&gt;0,Projections!BS74,0)</f>
        <v>0</v>
      </c>
      <c r="D174" s="1">
        <f t="shared" si="19"/>
        <v>0</v>
      </c>
      <c r="E174" s="18">
        <f t="shared" si="20"/>
        <v>0</v>
      </c>
      <c r="F174" s="1">
        <f t="shared" si="21"/>
        <v>0</v>
      </c>
    </row>
    <row r="175" spans="1:6" x14ac:dyDescent="0.3">
      <c r="A175" s="1">
        <f t="shared" si="18"/>
        <v>0</v>
      </c>
      <c r="C175" s="1">
        <f>IF(Projections!BS75&gt;0,Projections!BS75,0)</f>
        <v>0</v>
      </c>
      <c r="D175" s="1">
        <f t="shared" si="19"/>
        <v>0</v>
      </c>
      <c r="E175" s="18">
        <f t="shared" si="20"/>
        <v>0</v>
      </c>
      <c r="F175" s="1">
        <f t="shared" si="21"/>
        <v>0</v>
      </c>
    </row>
    <row r="176" spans="1:6" x14ac:dyDescent="0.3">
      <c r="A176" s="1">
        <f t="shared" si="18"/>
        <v>0</v>
      </c>
      <c r="C176" s="1">
        <f>IF(Projections!BS76&gt;0,Projections!BS76,0)</f>
        <v>0</v>
      </c>
      <c r="D176" s="1">
        <f t="shared" si="19"/>
        <v>0</v>
      </c>
      <c r="E176" s="18">
        <f t="shared" si="20"/>
        <v>0</v>
      </c>
      <c r="F176" s="1">
        <f t="shared" si="21"/>
        <v>0</v>
      </c>
    </row>
    <row r="177" spans="1:6" x14ac:dyDescent="0.3">
      <c r="A177" s="1">
        <f t="shared" si="18"/>
        <v>0</v>
      </c>
      <c r="C177" s="1">
        <f>IF(Projections!BS77&gt;0,Projections!BS77,0)</f>
        <v>0</v>
      </c>
      <c r="D177" s="1">
        <f t="shared" si="19"/>
        <v>0</v>
      </c>
      <c r="E177" s="18">
        <f t="shared" si="20"/>
        <v>0</v>
      </c>
      <c r="F177" s="1">
        <f t="shared" si="21"/>
        <v>0</v>
      </c>
    </row>
    <row r="178" spans="1:6" x14ac:dyDescent="0.3">
      <c r="A178" s="1">
        <f t="shared" si="18"/>
        <v>0</v>
      </c>
      <c r="C178" s="1">
        <f>IF(Projections!BS78&gt;0,Projections!BS78,0)</f>
        <v>0</v>
      </c>
      <c r="D178" s="1">
        <f t="shared" si="19"/>
        <v>0</v>
      </c>
      <c r="E178" s="18">
        <f t="shared" si="20"/>
        <v>0</v>
      </c>
      <c r="F178" s="1">
        <f t="shared" si="21"/>
        <v>0</v>
      </c>
    </row>
    <row r="179" spans="1:6" x14ac:dyDescent="0.3">
      <c r="A179" s="1">
        <f t="shared" si="18"/>
        <v>0</v>
      </c>
      <c r="C179" s="1">
        <f>IF(Projections!BS79&gt;0,Projections!BS79,0)</f>
        <v>0</v>
      </c>
      <c r="D179" s="1">
        <f t="shared" si="19"/>
        <v>0</v>
      </c>
      <c r="E179" s="18">
        <f t="shared" si="20"/>
        <v>0</v>
      </c>
      <c r="F179" s="1">
        <f t="shared" si="21"/>
        <v>0</v>
      </c>
    </row>
    <row r="180" spans="1:6" x14ac:dyDescent="0.3">
      <c r="A180" s="1">
        <f t="shared" si="18"/>
        <v>0</v>
      </c>
      <c r="C180" s="1">
        <f>IF(Projections!BS80&gt;0,Projections!BS80,0)</f>
        <v>0</v>
      </c>
      <c r="D180" s="1">
        <f t="shared" si="19"/>
        <v>0</v>
      </c>
      <c r="E180" s="18">
        <f t="shared" si="20"/>
        <v>0</v>
      </c>
      <c r="F180" s="1">
        <f t="shared" si="21"/>
        <v>0</v>
      </c>
    </row>
    <row r="181" spans="1:6" x14ac:dyDescent="0.3">
      <c r="A181" s="1">
        <f t="shared" si="18"/>
        <v>0</v>
      </c>
      <c r="C181" s="1">
        <f>IF(Projections!BS81&gt;0,Projections!BS81,0)</f>
        <v>0</v>
      </c>
      <c r="D181" s="1">
        <f t="shared" si="19"/>
        <v>0</v>
      </c>
      <c r="E181" s="18">
        <f t="shared" si="20"/>
        <v>0</v>
      </c>
      <c r="F181" s="1">
        <f t="shared" si="21"/>
        <v>0</v>
      </c>
    </row>
    <row r="182" spans="1:6" x14ac:dyDescent="0.3">
      <c r="A182" s="1">
        <f t="shared" si="18"/>
        <v>0</v>
      </c>
      <c r="C182" s="1">
        <f>IF(Projections!BS82&gt;0,Projections!BS82,0)</f>
        <v>0</v>
      </c>
      <c r="D182" s="1">
        <f t="shared" si="19"/>
        <v>0</v>
      </c>
      <c r="E182" s="18">
        <f t="shared" si="20"/>
        <v>0</v>
      </c>
      <c r="F182" s="1">
        <f t="shared" si="21"/>
        <v>0</v>
      </c>
    </row>
    <row r="183" spans="1:6" x14ac:dyDescent="0.3">
      <c r="A183" s="1">
        <f t="shared" si="18"/>
        <v>0</v>
      </c>
      <c r="C183" s="1">
        <f>IF(Projections!BS83&gt;0,Projections!BS83,0)</f>
        <v>0</v>
      </c>
      <c r="D183" s="1">
        <f t="shared" si="19"/>
        <v>0</v>
      </c>
      <c r="E183" s="18">
        <f t="shared" si="20"/>
        <v>0</v>
      </c>
      <c r="F183" s="1">
        <f t="shared" si="21"/>
        <v>0</v>
      </c>
    </row>
    <row r="184" spans="1:6" x14ac:dyDescent="0.3">
      <c r="A184" s="1">
        <f t="shared" si="18"/>
        <v>0</v>
      </c>
      <c r="C184" s="1">
        <f>IF(Projections!BS84&gt;0,Projections!BS84,0)</f>
        <v>0</v>
      </c>
      <c r="D184" s="1">
        <f t="shared" si="19"/>
        <v>0</v>
      </c>
      <c r="E184" s="18">
        <f t="shared" si="20"/>
        <v>0</v>
      </c>
      <c r="F184" s="1">
        <f t="shared" si="21"/>
        <v>0</v>
      </c>
    </row>
    <row r="185" spans="1:6" x14ac:dyDescent="0.3">
      <c r="A185" s="1">
        <f t="shared" si="18"/>
        <v>0</v>
      </c>
      <c r="C185" s="1">
        <f>IF(Projections!BS85&gt;0,Projections!BS85,0)</f>
        <v>0</v>
      </c>
      <c r="D185" s="1">
        <f t="shared" si="19"/>
        <v>0</v>
      </c>
      <c r="E185" s="18">
        <f t="shared" si="20"/>
        <v>0</v>
      </c>
      <c r="F185" s="1">
        <f t="shared" si="21"/>
        <v>0</v>
      </c>
    </row>
    <row r="186" spans="1:6" x14ac:dyDescent="0.3">
      <c r="A186" s="1">
        <f t="shared" si="18"/>
        <v>0</v>
      </c>
      <c r="C186" s="1">
        <f>IF(Projections!BS86&gt;0,Projections!BS86,0)</f>
        <v>0</v>
      </c>
      <c r="D186" s="1">
        <f t="shared" si="19"/>
        <v>0</v>
      </c>
      <c r="E186" s="18">
        <f t="shared" si="20"/>
        <v>0</v>
      </c>
      <c r="F186" s="1">
        <f t="shared" si="21"/>
        <v>0</v>
      </c>
    </row>
    <row r="187" spans="1:6" x14ac:dyDescent="0.3">
      <c r="A187" s="1">
        <f t="shared" si="18"/>
        <v>0</v>
      </c>
      <c r="C187" s="1">
        <f>IF(Projections!BS87&gt;0,Projections!BS87,0)</f>
        <v>0</v>
      </c>
      <c r="D187" s="1">
        <f t="shared" si="19"/>
        <v>0</v>
      </c>
      <c r="E187" s="18">
        <f t="shared" si="20"/>
        <v>0</v>
      </c>
      <c r="F187" s="1">
        <f t="shared" si="21"/>
        <v>0</v>
      </c>
    </row>
    <row r="188" spans="1:6" x14ac:dyDescent="0.3">
      <c r="A188" s="1">
        <f t="shared" si="18"/>
        <v>0</v>
      </c>
      <c r="C188" s="1">
        <f>IF(Projections!BS88&gt;0,Projections!BS88,0)</f>
        <v>0</v>
      </c>
      <c r="D188" s="1">
        <f t="shared" si="19"/>
        <v>0</v>
      </c>
      <c r="E188" s="18">
        <f t="shared" si="20"/>
        <v>0</v>
      </c>
      <c r="F188" s="1">
        <f t="shared" si="21"/>
        <v>0</v>
      </c>
    </row>
    <row r="189" spans="1:6" x14ac:dyDescent="0.3">
      <c r="A189" s="1">
        <f t="shared" si="18"/>
        <v>0</v>
      </c>
      <c r="C189" s="1">
        <f>IF(Projections!BS89&gt;0,Projections!BS89,0)</f>
        <v>0</v>
      </c>
      <c r="D189" s="1">
        <f t="shared" si="19"/>
        <v>0</v>
      </c>
      <c r="E189" s="18">
        <f t="shared" si="20"/>
        <v>0</v>
      </c>
      <c r="F189" s="1">
        <f t="shared" si="21"/>
        <v>0</v>
      </c>
    </row>
    <row r="190" spans="1:6" x14ac:dyDescent="0.3">
      <c r="A190" s="1">
        <f t="shared" si="18"/>
        <v>0</v>
      </c>
      <c r="C190" s="1">
        <f>IF(Projections!BS90&gt;0,Projections!BS90,0)</f>
        <v>0</v>
      </c>
      <c r="D190" s="1">
        <f t="shared" si="19"/>
        <v>0</v>
      </c>
      <c r="E190" s="18">
        <f t="shared" si="20"/>
        <v>0</v>
      </c>
      <c r="F190" s="1">
        <f t="shared" si="21"/>
        <v>0</v>
      </c>
    </row>
    <row r="191" spans="1:6" x14ac:dyDescent="0.3">
      <c r="A191" s="1">
        <f t="shared" si="18"/>
        <v>0</v>
      </c>
      <c r="C191" s="1">
        <f>IF(Projections!BS91&gt;0,Projections!BS91,0)</f>
        <v>0</v>
      </c>
      <c r="D191" s="1">
        <f t="shared" si="19"/>
        <v>0</v>
      </c>
      <c r="E191" s="18">
        <f t="shared" si="20"/>
        <v>0</v>
      </c>
      <c r="F191" s="1">
        <f t="shared" si="21"/>
        <v>0</v>
      </c>
    </row>
    <row r="192" spans="1:6" x14ac:dyDescent="0.3">
      <c r="A192" s="1">
        <f t="shared" si="18"/>
        <v>0</v>
      </c>
      <c r="C192" s="1">
        <f>IF(Projections!BS92&gt;0,Projections!BS92,0)</f>
        <v>0</v>
      </c>
      <c r="D192" s="1">
        <f t="shared" si="19"/>
        <v>0</v>
      </c>
      <c r="E192" s="18">
        <f t="shared" si="20"/>
        <v>0</v>
      </c>
      <c r="F192" s="1">
        <f t="shared" si="21"/>
        <v>0</v>
      </c>
    </row>
  </sheetData>
  <sheetProtection sheet="1" objects="1" scenarios="1"/>
  <mergeCells count="3">
    <mergeCell ref="A4:F4"/>
    <mergeCell ref="A104:F104"/>
    <mergeCell ref="A1:E3"/>
  </mergeCells>
  <hyperlinks>
    <hyperlink ref="J3" r:id="rId1" xr:uid="{08A6AEA8-6A22-4856-98C4-21D416480E77}"/>
    <hyperlink ref="J1" r:id="rId2" xr:uid="{3422DEE3-CD00-495D-99B1-3C85CEFD5A94}"/>
  </hyperlinks>
  <pageMargins left="0.7" right="0.7" top="0.75" bottom="0.75" header="0.3" footer="0.3"/>
  <pageSetup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DF576-2662-41F4-864C-F15147EC1C7D}">
  <sheetPr codeName="Sheet7"/>
  <dimension ref="A1:V192"/>
  <sheetViews>
    <sheetView zoomScaleNormal="100" workbookViewId="0">
      <pane ySplit="3" topLeftCell="A4" activePane="bottomLeft" state="frozen"/>
      <selection pane="bottomLeft" sqref="A1:E3"/>
    </sheetView>
  </sheetViews>
  <sheetFormatPr defaultRowHeight="14.4" x14ac:dyDescent="0.3"/>
  <cols>
    <col min="1" max="1" width="11.77734375" customWidth="1"/>
    <col min="2" max="2" width="3.33203125" customWidth="1"/>
    <col min="3" max="4" width="14.6640625" customWidth="1"/>
    <col min="5" max="29" width="11.77734375" customWidth="1"/>
  </cols>
  <sheetData>
    <row r="1" spans="1:22" x14ac:dyDescent="0.3">
      <c r="A1" s="442" t="str" cm="1">
        <f t="array" aca="1" ref="A1" ca="1">MID(CELL("filename",C1),FIND("]",CELL("filename",C1))+1,255)</f>
        <v>Oregon</v>
      </c>
      <c r="B1" s="443"/>
      <c r="C1" s="443"/>
      <c r="D1" s="443"/>
      <c r="E1" s="444"/>
    </row>
    <row r="2" spans="1:22" ht="14.4" customHeight="1" x14ac:dyDescent="0.3">
      <c r="A2" s="445"/>
      <c r="B2" s="446"/>
      <c r="C2" s="446"/>
      <c r="D2" s="446"/>
      <c r="E2" s="447"/>
      <c r="J2" s="234" t="s">
        <v>158</v>
      </c>
    </row>
    <row r="3" spans="1:22" ht="14.4" customHeight="1" x14ac:dyDescent="0.3">
      <c r="A3" s="445"/>
      <c r="B3" s="446"/>
      <c r="C3" s="446"/>
      <c r="D3" s="446"/>
      <c r="E3" s="447"/>
      <c r="J3" s="235" t="s">
        <v>276</v>
      </c>
    </row>
    <row r="4" spans="1:22" x14ac:dyDescent="0.3">
      <c r="A4" s="448" t="s">
        <v>174</v>
      </c>
      <c r="B4" s="449"/>
      <c r="C4" s="449"/>
      <c r="D4" s="449"/>
      <c r="E4" s="449"/>
      <c r="F4" s="449"/>
      <c r="G4" s="450"/>
    </row>
    <row r="5" spans="1:22" x14ac:dyDescent="0.3">
      <c r="A5" s="243" t="s">
        <v>2</v>
      </c>
      <c r="C5" s="243"/>
      <c r="D5" s="128"/>
      <c r="E5" s="128" t="s">
        <v>113</v>
      </c>
      <c r="F5" s="128" t="s">
        <v>114</v>
      </c>
      <c r="G5" s="128" t="s">
        <v>115</v>
      </c>
      <c r="I5" t="s">
        <v>154</v>
      </c>
    </row>
    <row r="6" spans="1:22" ht="15" thickBot="1" x14ac:dyDescent="0.35">
      <c r="A6" s="230" t="s">
        <v>108</v>
      </c>
      <c r="C6" s="236" t="s">
        <v>112</v>
      </c>
      <c r="D6" s="241" t="s">
        <v>96</v>
      </c>
      <c r="E6" s="155" t="s">
        <v>108</v>
      </c>
      <c r="F6" s="155" t="s">
        <v>108</v>
      </c>
      <c r="G6" s="155" t="s">
        <v>108</v>
      </c>
    </row>
    <row r="7" spans="1:22" x14ac:dyDescent="0.3">
      <c r="A7" s="1">
        <f t="shared" ref="A7:A38" si="0">E7+G7</f>
        <v>0</v>
      </c>
      <c r="C7" s="1" cm="1">
        <f t="array" ref="C7">_xlfn.IFS(Projections!BJ7=0,0,AND(OR(Setup!I$4=Lookups!D$109,Setup!I$4=Lookups!D$112),Projections!BJ7&gt;P$15),0,AND(OR(Setup!I$4=Lookups!D$110,Setup!I$4=Lookups!D$111),Projections!BJ7&gt;P$14),0,AND(OR(Setup!I$4=Lookups!D$109,Setup!I$4=Lookups!D$112),Projections!BJ7&gt;O$15),VLOOKUP(Setup!I$4,K$17:P$20,6),AND(OR(Setup!I$4=Lookups!D$110,Setup!I$4=Lookups!D$111),Projections!BJ7&gt;O$14),VLOOKUP(Setup!I$4,K$17:P$20,6),AND(OR(Setup!I$4=Lookups!D$109,Setup!I$4=Lookups!D$112),Projections!BJ7&gt;N$15),VLOOKUP(Setup!I$4,K$17:P$20,5),AND(OR(Setup!I$4=Lookups!D$110,Setup!I$4=Lookups!D$111),Projections!BJ7&gt;N$14),VLOOKUP(Setup!I$4,K$17:P$20,5),AND(OR(Setup!I$4=Lookups!D$109,Setup!I$4=Lookups!D$112),Projections!BJ7&gt;M$15),VLOOKUP(Setup!I$4,K$17:P$20,4),AND(OR(Setup!I$4=Lookups!D$110,Setup!I$4=Lookups!D$111),Projections!BJ7&gt;M$14),VLOOKUP(Setup!I$4,K$17:P$20,4),AND(OR(Setup!I$4=Lookups!D$109,Setup!I$4=Lookups!D$112),Projections!BJ7&gt;L$15),VLOOKUP(Setup!I$4,K$17:P$20,3),AND(OR(Setup!I$4=Lookups!D$110,Setup!I$4=Lookups!D$111),Projections!BJ7&gt;L$14),VLOOKUP(Setup!I$4,K$17:P$20,3),AND(OR(Setup!I$4=Lookups!D$109,Setup!I$4=Lookups!D$112),Projections!BJ7&lt;L$15),VLOOKUP(Setup!I$4,K$17:P$20,2),AND(OR(Setup!I$4=Lookups!D$110,Setup!I$4=Lookups!D$111),Projections!BJ7&lt;L$14),VLOOKUP(Setup!I$4,K$17:P$20,2))</f>
        <v>0</v>
      </c>
      <c r="D7" s="1">
        <f>IF(Projections!AW7+Projections!BG7&gt;0,Projections!AW7+Projections!BG7-C7-VLOOKUP(Setup!I$4,K$23:L$26,2)-IF(VLOOKUP(Setup!I$4,K$31:L$34,2)&gt;Projections!AW7+Projections!BG7,IF(OR(Setup!I$4="Head of household",Setup!I$4="Married filing jointly"),2*L$29, L$29),0),0)</f>
        <v>0</v>
      </c>
      <c r="E7" s="1" cm="1">
        <f t="array" ref="E7">IF(D7&gt;0,_xlfn.IFS(Setup!I$4=Lookups!D$109,-_xlfn.IFS(D7&gt;=L$48, N$48+(D7-L$48)*O$48,D7&gt;=L$47, N$47+(D7-L$47)*O$47,D7&gt;=L$46,N$46+(D7-L$46)*O$46,D7&lt;L$46,D7*O$45),Setup!I$4=Lookups!D$110,-_xlfn.IFS(D7&gt;=L$55, N$55+(D7-L$55)*O$55,D7&gt;=L$54, N$54+(D7-L$54)*O$54,D7&gt;=L$53, N$53+(D7-L$53)*O$53,D7&lt;L$53,D7*O$52),Setup!I$4=Lookups!D$111,-_xlfn.IFS(D7&gt;=L$62, N$62+(D7-L$62)*O$62,D7&gt;=L$61, N$61+(D7-L$61)*O$61,D7&gt;=L$60, N$60+(D7-L$60)*O$60,D7&lt;L$60,D7*O$59), Setup!I$4=Lookups!D$112,-_xlfn.IFS(D7&gt;=L$69, N$69+(D7-L$69)*O$69,D7&gt;=L$68, N$68+(D7-L$68)*O$68,D7&gt;=L$67, N$67+(D7-L$67)*O$67,D7&lt;L$67,D7*O$66)),0)</f>
        <v>0</v>
      </c>
      <c r="F7" s="18">
        <f t="shared" ref="F7:F38" si="1">IF(D7=0,0,-E7/D7)</f>
        <v>0</v>
      </c>
      <c r="G7" s="1">
        <f t="shared" ref="G7:G38" si="2">IF(D7=0,0,(E7*F7^2)+(E7*F7^3)+(E7*F7^4)+(E7*F7^5)+(E7*F7^6)+(E7*F7^7)+(E7*F7^8)+(E7*F7^9)+(E7*F7^10))</f>
        <v>0</v>
      </c>
      <c r="I7" s="1"/>
      <c r="J7" s="79" t="s">
        <v>12</v>
      </c>
      <c r="K7" s="80"/>
      <c r="L7" s="81"/>
      <c r="M7" s="82"/>
      <c r="N7" s="83"/>
      <c r="O7" s="100"/>
      <c r="P7" s="83"/>
      <c r="Q7" s="83"/>
      <c r="R7" s="100"/>
      <c r="S7" s="100"/>
      <c r="T7" s="100"/>
      <c r="U7" s="100"/>
      <c r="V7" s="129"/>
    </row>
    <row r="8" spans="1:22" x14ac:dyDescent="0.3">
      <c r="A8" s="1">
        <f t="shared" si="0"/>
        <v>0</v>
      </c>
      <c r="C8" s="1" cm="1">
        <f t="array" ref="C8">_xlfn.IFS(Projections!BJ8=0,0,AND(OR(Setup!I$4=Lookups!D$109,Setup!I$4=Lookups!D$112),Projections!BJ8&gt;P$15),0,AND(OR(Setup!I$4=Lookups!D$110,Setup!I$4=Lookups!D$111),Projections!BJ8&gt;P$14),0,AND(OR(Setup!I$4=Lookups!D$109,Setup!I$4=Lookups!D$112),Projections!BJ8&gt;O$15),VLOOKUP(Setup!I$4,K$17:P$20,6),AND(OR(Setup!I$4=Lookups!D$110,Setup!I$4=Lookups!D$111),Projections!BJ8&gt;O$14),VLOOKUP(Setup!I$4,K$17:P$20,6),AND(OR(Setup!I$4=Lookups!D$109,Setup!I$4=Lookups!D$112),Projections!BJ8&gt;N$15),VLOOKUP(Setup!I$4,K$17:P$20,5),AND(OR(Setup!I$4=Lookups!D$110,Setup!I$4=Lookups!D$111),Projections!BJ8&gt;N$14),VLOOKUP(Setup!I$4,K$17:P$20,5),AND(OR(Setup!I$4=Lookups!D$109,Setup!I$4=Lookups!D$112),Projections!BJ8&gt;M$15),VLOOKUP(Setup!I$4,K$17:P$20,4),AND(OR(Setup!I$4=Lookups!D$110,Setup!I$4=Lookups!D$111),Projections!BJ8&gt;M$14),VLOOKUP(Setup!I$4,K$17:P$20,4),AND(OR(Setup!I$4=Lookups!D$109,Setup!I$4=Lookups!D$112),Projections!BJ8&gt;L$15),VLOOKUP(Setup!I$4,K$17:P$20,3),AND(OR(Setup!I$4=Lookups!D$110,Setup!I$4=Lookups!D$111),Projections!BJ8&gt;L$14),VLOOKUP(Setup!I$4,K$17:P$20,3),AND(OR(Setup!I$4=Lookups!D$109,Setup!I$4=Lookups!D$112),Projections!BJ8&lt;L$15),VLOOKUP(Setup!I$4,K$17:P$20,2),AND(OR(Setup!I$4=Lookups!D$110,Setup!I$4=Lookups!D$111),Projections!BJ8&lt;L$14),VLOOKUP(Setup!I$4,K$17:P$20,2))</f>
        <v>0</v>
      </c>
      <c r="D8" s="1">
        <f>IF(Projections!AW8+Projections!BG8&gt;0,Projections!AW8+Projections!BG8-C8-VLOOKUP(Setup!I$4,K$23:L$26,2)-IF(VLOOKUP(Setup!I$4,K$31:L$34,2)&gt;Projections!AW8+Projections!BG8,IF(OR(Setup!I$4="Head of household",Setup!I$4="Married filing jointly"),2*L$29, L$29),0),0)</f>
        <v>0</v>
      </c>
      <c r="E8" s="1" cm="1">
        <f t="array" ref="E8">IF(D8&gt;0,_xlfn.IFS(Setup!I$4=Lookups!D$109,-_xlfn.IFS(D8&gt;=L$48, N$48+(D8-L$48)*O$48,D8&gt;=L$47, N$47+(D8-L$47)*O$47,D8&gt;=L$46,N$46+(D8-L$46)*O$46,D8&lt;L$46,D8*O$45),Setup!I$4=Lookups!D$110,-_xlfn.IFS(D8&gt;=L$55, N$55+(D8-L$55)*O$55,D8&gt;=L$54, N$54+(D8-L$54)*O$54,D8&gt;=L$53, N$53+(D8-L$53)*O$53,D8&lt;L$53,D8*O$52),Setup!I$4=Lookups!D$111,-_xlfn.IFS(D8&gt;=L$62, N$62+(D8-L$62)*O$62,D8&gt;=L$61, N$61+(D8-L$61)*O$61,D8&gt;=L$60, N$60+(D8-L$60)*O$60,D8&lt;L$60,D8*O$59), Setup!I$4=Lookups!D$112,-_xlfn.IFS(D8&gt;=L$69, N$69+(D8-L$69)*O$69,D8&gt;=L$68, N$68+(D8-L$68)*O$68,D8&gt;=L$67, N$67+(D8-L$67)*O$67,D8&lt;L$67,D8*O$66)),0)</f>
        <v>0</v>
      </c>
      <c r="F8" s="18">
        <f t="shared" si="1"/>
        <v>0</v>
      </c>
      <c r="G8" s="1">
        <f t="shared" si="2"/>
        <v>0</v>
      </c>
      <c r="I8" s="1"/>
      <c r="J8" s="84"/>
      <c r="V8" s="67"/>
    </row>
    <row r="9" spans="1:22" x14ac:dyDescent="0.3">
      <c r="A9" s="1">
        <f t="shared" si="0"/>
        <v>0</v>
      </c>
      <c r="C9" s="1" cm="1">
        <f t="array" ref="C9">_xlfn.IFS(Projections!BJ9=0,0,AND(OR(Setup!I$4=Lookups!D$109,Setup!I$4=Lookups!D$112),Projections!BJ9&gt;P$15),0,AND(OR(Setup!I$4=Lookups!D$110,Setup!I$4=Lookups!D$111),Projections!BJ9&gt;P$14),0,AND(OR(Setup!I$4=Lookups!D$109,Setup!I$4=Lookups!D$112),Projections!BJ9&gt;O$15),VLOOKUP(Setup!I$4,K$17:P$20,6),AND(OR(Setup!I$4=Lookups!D$110,Setup!I$4=Lookups!D$111),Projections!BJ9&gt;O$14),VLOOKUP(Setup!I$4,K$17:P$20,6),AND(OR(Setup!I$4=Lookups!D$109,Setup!I$4=Lookups!D$112),Projections!BJ9&gt;N$15),VLOOKUP(Setup!I$4,K$17:P$20,5),AND(OR(Setup!I$4=Lookups!D$110,Setup!I$4=Lookups!D$111),Projections!BJ9&gt;N$14),VLOOKUP(Setup!I$4,K$17:P$20,5),AND(OR(Setup!I$4=Lookups!D$109,Setup!I$4=Lookups!D$112),Projections!BJ9&gt;M$15),VLOOKUP(Setup!I$4,K$17:P$20,4),AND(OR(Setup!I$4=Lookups!D$110,Setup!I$4=Lookups!D$111),Projections!BJ9&gt;M$14),VLOOKUP(Setup!I$4,K$17:P$20,4),AND(OR(Setup!I$4=Lookups!D$109,Setup!I$4=Lookups!D$112),Projections!BJ9&gt;L$15),VLOOKUP(Setup!I$4,K$17:P$20,3),AND(OR(Setup!I$4=Lookups!D$110,Setup!I$4=Lookups!D$111),Projections!BJ9&gt;L$14),VLOOKUP(Setup!I$4,K$17:P$20,3),AND(OR(Setup!I$4=Lookups!D$109,Setup!I$4=Lookups!D$112),Projections!BJ9&lt;L$15),VLOOKUP(Setup!I$4,K$17:P$20,2),AND(OR(Setup!I$4=Lookups!D$110,Setup!I$4=Lookups!D$111),Projections!BJ9&lt;L$14),VLOOKUP(Setup!I$4,K$17:P$20,2))</f>
        <v>0</v>
      </c>
      <c r="D9" s="1">
        <f>IF(Projections!AW9+Projections!BG9&gt;0,Projections!AW9+Projections!BG9-C9-VLOOKUP(Setup!I$4,K$23:L$26,2)-IF(VLOOKUP(Setup!I$4,K$31:L$34,2)&gt;Projections!AW9+Projections!BG9,IF(OR(Setup!I$4="Head of household",Setup!I$4="Married filing jointly"),2*L$29, L$29),0),0)</f>
        <v>0</v>
      </c>
      <c r="E9" s="1" cm="1">
        <f t="array" ref="E9">IF(D9&gt;0,_xlfn.IFS(Setup!I$4=Lookups!D$109,-_xlfn.IFS(D9&gt;=L$48, N$48+(D9-L$48)*O$48,D9&gt;=L$47, N$47+(D9-L$47)*O$47,D9&gt;=L$46,N$46+(D9-L$46)*O$46,D9&lt;L$46,D9*O$45),Setup!I$4=Lookups!D$110,-_xlfn.IFS(D9&gt;=L$55, N$55+(D9-L$55)*O$55,D9&gt;=L$54, N$54+(D9-L$54)*O$54,D9&gt;=L$53, N$53+(D9-L$53)*O$53,D9&lt;L$53,D9*O$52),Setup!I$4=Lookups!D$111,-_xlfn.IFS(D9&gt;=L$62, N$62+(D9-L$62)*O$62,D9&gt;=L$61, N$61+(D9-L$61)*O$61,D9&gt;=L$60, N$60+(D9-L$60)*O$60,D9&lt;L$60,D9*O$59), Setup!I$4=Lookups!D$112,-_xlfn.IFS(D9&gt;=L$69, N$69+(D9-L$69)*O$69,D9&gt;=L$68, N$68+(D9-L$68)*O$68,D9&gt;=L$67, N$67+(D9-L$67)*O$67,D9&lt;L$67,D9*O$66)),0)</f>
        <v>0</v>
      </c>
      <c r="F9" s="18">
        <f t="shared" si="1"/>
        <v>0</v>
      </c>
      <c r="G9" s="1">
        <f t="shared" si="2"/>
        <v>0</v>
      </c>
      <c r="I9" s="1"/>
      <c r="J9" s="242" t="s">
        <v>171</v>
      </c>
      <c r="V9" s="67"/>
    </row>
    <row r="10" spans="1:22" x14ac:dyDescent="0.3">
      <c r="A10" s="1">
        <f t="shared" si="0"/>
        <v>0</v>
      </c>
      <c r="C10" s="1" cm="1">
        <f t="array" ref="C10">_xlfn.IFS(Projections!BJ10=0,0,AND(OR(Setup!I$4=Lookups!D$109,Setup!I$4=Lookups!D$112),Projections!BJ10&gt;P$15),0,AND(OR(Setup!I$4=Lookups!D$110,Setup!I$4=Lookups!D$111),Projections!BJ10&gt;P$14),0,AND(OR(Setup!I$4=Lookups!D$109,Setup!I$4=Lookups!D$112),Projections!BJ10&gt;O$15),VLOOKUP(Setup!I$4,K$17:P$20,6),AND(OR(Setup!I$4=Lookups!D$110,Setup!I$4=Lookups!D$111),Projections!BJ10&gt;O$14),VLOOKUP(Setup!I$4,K$17:P$20,6),AND(OR(Setup!I$4=Lookups!D$109,Setup!I$4=Lookups!D$112),Projections!BJ10&gt;N$15),VLOOKUP(Setup!I$4,K$17:P$20,5),AND(OR(Setup!I$4=Lookups!D$110,Setup!I$4=Lookups!D$111),Projections!BJ10&gt;N$14),VLOOKUP(Setup!I$4,K$17:P$20,5),AND(OR(Setup!I$4=Lookups!D$109,Setup!I$4=Lookups!D$112),Projections!BJ10&gt;M$15),VLOOKUP(Setup!I$4,K$17:P$20,4),AND(OR(Setup!I$4=Lookups!D$110,Setup!I$4=Lookups!D$111),Projections!BJ10&gt;M$14),VLOOKUP(Setup!I$4,K$17:P$20,4),AND(OR(Setup!I$4=Lookups!D$109,Setup!I$4=Lookups!D$112),Projections!BJ10&gt;L$15),VLOOKUP(Setup!I$4,K$17:P$20,3),AND(OR(Setup!I$4=Lookups!D$110,Setup!I$4=Lookups!D$111),Projections!BJ10&gt;L$14),VLOOKUP(Setup!I$4,K$17:P$20,3),AND(OR(Setup!I$4=Lookups!D$109,Setup!I$4=Lookups!D$112),Projections!BJ10&lt;L$15),VLOOKUP(Setup!I$4,K$17:P$20,2),AND(OR(Setup!I$4=Lookups!D$110,Setup!I$4=Lookups!D$111),Projections!BJ10&lt;L$14),VLOOKUP(Setup!I$4,K$17:P$20,2))</f>
        <v>0</v>
      </c>
      <c r="D10" s="1">
        <f>IF(Projections!AW10+Projections!BG10&gt;0,Projections!AW10+Projections!BG10-C10-VLOOKUP(Setup!I$4,K$23:L$26,2)-IF(VLOOKUP(Setup!I$4,K$31:L$34,2)&gt;Projections!AW10+Projections!BG10,IF(OR(Setup!I$4="Head of household",Setup!I$4="Married filing jointly"),2*L$29, L$29),0),0)</f>
        <v>0</v>
      </c>
      <c r="E10" s="1" cm="1">
        <f t="array" ref="E10">IF(D10&gt;0,_xlfn.IFS(Setup!I$4=Lookups!D$109,-_xlfn.IFS(D10&gt;=L$48, N$48+(D10-L$48)*O$48,D10&gt;=L$47, N$47+(D10-L$47)*O$47,D10&gt;=L$46,N$46+(D10-L$46)*O$46,D10&lt;L$46,D10*O$45),Setup!I$4=Lookups!D$110,-_xlfn.IFS(D10&gt;=L$55, N$55+(D10-L$55)*O$55,D10&gt;=L$54, N$54+(D10-L$54)*O$54,D10&gt;=L$53, N$53+(D10-L$53)*O$53,D10&lt;L$53,D10*O$52),Setup!I$4=Lookups!D$111,-_xlfn.IFS(D10&gt;=L$62, N$62+(D10-L$62)*O$62,D10&gt;=L$61, N$61+(D10-L$61)*O$61,D10&gt;=L$60, N$60+(D10-L$60)*O$60,D10&lt;L$60,D10*O$59), Setup!I$4=Lookups!D$112,-_xlfn.IFS(D10&gt;=L$69, N$69+(D10-L$69)*O$69,D10&gt;=L$68, N$68+(D10-L$68)*O$68,D10&gt;=L$67, N$67+(D10-L$67)*O$67,D10&lt;L$67,D10*O$66)),0)</f>
        <v>0</v>
      </c>
      <c r="F10" s="18">
        <f t="shared" si="1"/>
        <v>0</v>
      </c>
      <c r="G10" s="1">
        <f t="shared" si="2"/>
        <v>0</v>
      </c>
      <c r="I10" s="1"/>
      <c r="J10" s="84"/>
      <c r="K10" t="s">
        <v>181</v>
      </c>
      <c r="V10" s="67"/>
    </row>
    <row r="11" spans="1:22" x14ac:dyDescent="0.3">
      <c r="A11" s="1">
        <f t="shared" si="0"/>
        <v>0</v>
      </c>
      <c r="C11" s="1" cm="1">
        <f t="array" ref="C11">_xlfn.IFS(Projections!BJ11=0,0,AND(OR(Setup!I$4=Lookups!D$109,Setup!I$4=Lookups!D$112),Projections!BJ11&gt;P$15),0,AND(OR(Setup!I$4=Lookups!D$110,Setup!I$4=Lookups!D$111),Projections!BJ11&gt;P$14),0,AND(OR(Setup!I$4=Lookups!D$109,Setup!I$4=Lookups!D$112),Projections!BJ11&gt;O$15),VLOOKUP(Setup!I$4,K$17:P$20,6),AND(OR(Setup!I$4=Lookups!D$110,Setup!I$4=Lookups!D$111),Projections!BJ11&gt;O$14),VLOOKUP(Setup!I$4,K$17:P$20,6),AND(OR(Setup!I$4=Lookups!D$109,Setup!I$4=Lookups!D$112),Projections!BJ11&gt;N$15),VLOOKUP(Setup!I$4,K$17:P$20,5),AND(OR(Setup!I$4=Lookups!D$110,Setup!I$4=Lookups!D$111),Projections!BJ11&gt;N$14),VLOOKUP(Setup!I$4,K$17:P$20,5),AND(OR(Setup!I$4=Lookups!D$109,Setup!I$4=Lookups!D$112),Projections!BJ11&gt;M$15),VLOOKUP(Setup!I$4,K$17:P$20,4),AND(OR(Setup!I$4=Lookups!D$110,Setup!I$4=Lookups!D$111),Projections!BJ11&gt;M$14),VLOOKUP(Setup!I$4,K$17:P$20,4),AND(OR(Setup!I$4=Lookups!D$109,Setup!I$4=Lookups!D$112),Projections!BJ11&gt;L$15),VLOOKUP(Setup!I$4,K$17:P$20,3),AND(OR(Setup!I$4=Lookups!D$110,Setup!I$4=Lookups!D$111),Projections!BJ11&gt;L$14),VLOOKUP(Setup!I$4,K$17:P$20,3),AND(OR(Setup!I$4=Lookups!D$109,Setup!I$4=Lookups!D$112),Projections!BJ11&lt;L$15),VLOOKUP(Setup!I$4,K$17:P$20,2),AND(OR(Setup!I$4=Lookups!D$110,Setup!I$4=Lookups!D$111),Projections!BJ11&lt;L$14),VLOOKUP(Setup!I$4,K$17:P$20,2))</f>
        <v>0</v>
      </c>
      <c r="D11" s="1">
        <f>IF(Projections!AW11+Projections!BG11&gt;0,Projections!AW11+Projections!BG11-C11-VLOOKUP(Setup!I$4,K$23:L$26,2)-IF(VLOOKUP(Setup!I$4,K$31:L$34,2)&gt;Projections!AW11+Projections!BG11,IF(OR(Setup!I$4="Head of household",Setup!I$4="Married filing jointly"),2*L$29, L$29),0),0)</f>
        <v>0</v>
      </c>
      <c r="E11" s="1" cm="1">
        <f t="array" ref="E11">IF(D11&gt;0,_xlfn.IFS(Setup!I$4=Lookups!D$109,-_xlfn.IFS(D11&gt;=L$48, N$48+(D11-L$48)*O$48,D11&gt;=L$47, N$47+(D11-L$47)*O$47,D11&gt;=L$46,N$46+(D11-L$46)*O$46,D11&lt;L$46,D11*O$45),Setup!I$4=Lookups!D$110,-_xlfn.IFS(D11&gt;=L$55, N$55+(D11-L$55)*O$55,D11&gt;=L$54, N$54+(D11-L$54)*O$54,D11&gt;=L$53, N$53+(D11-L$53)*O$53,D11&lt;L$53,D11*O$52),Setup!I$4=Lookups!D$111,-_xlfn.IFS(D11&gt;=L$62, N$62+(D11-L$62)*O$62,D11&gt;=L$61, N$61+(D11-L$61)*O$61,D11&gt;=L$60, N$60+(D11-L$60)*O$60,D11&lt;L$60,D11*O$59), Setup!I$4=Lookups!D$112,-_xlfn.IFS(D11&gt;=L$69, N$69+(D11-L$69)*O$69,D11&gt;=L$68, N$68+(D11-L$68)*O$68,D11&gt;=L$67, N$67+(D11-L$67)*O$67,D11&lt;L$67,D11*O$66)),0)</f>
        <v>0</v>
      </c>
      <c r="F11" s="18">
        <f t="shared" si="1"/>
        <v>0</v>
      </c>
      <c r="G11" s="1">
        <f t="shared" si="2"/>
        <v>0</v>
      </c>
      <c r="I11" s="1"/>
      <c r="J11" s="84"/>
      <c r="K11" t="s">
        <v>274</v>
      </c>
      <c r="V11" s="67"/>
    </row>
    <row r="12" spans="1:22" x14ac:dyDescent="0.3">
      <c r="A12" s="1">
        <f t="shared" si="0"/>
        <v>0</v>
      </c>
      <c r="C12" s="1" cm="1">
        <f t="array" ref="C12">_xlfn.IFS(Projections!BJ12=0,0,AND(OR(Setup!I$4=Lookups!D$109,Setup!I$4=Lookups!D$112),Projections!BJ12&gt;P$15),0,AND(OR(Setup!I$4=Lookups!D$110,Setup!I$4=Lookups!D$111),Projections!BJ12&gt;P$14),0,AND(OR(Setup!I$4=Lookups!D$109,Setup!I$4=Lookups!D$112),Projections!BJ12&gt;O$15),VLOOKUP(Setup!I$4,K$17:P$20,6),AND(OR(Setup!I$4=Lookups!D$110,Setup!I$4=Lookups!D$111),Projections!BJ12&gt;O$14),VLOOKUP(Setup!I$4,K$17:P$20,6),AND(OR(Setup!I$4=Lookups!D$109,Setup!I$4=Lookups!D$112),Projections!BJ12&gt;N$15),VLOOKUP(Setup!I$4,K$17:P$20,5),AND(OR(Setup!I$4=Lookups!D$110,Setup!I$4=Lookups!D$111),Projections!BJ12&gt;N$14),VLOOKUP(Setup!I$4,K$17:P$20,5),AND(OR(Setup!I$4=Lookups!D$109,Setup!I$4=Lookups!D$112),Projections!BJ12&gt;M$15),VLOOKUP(Setup!I$4,K$17:P$20,4),AND(OR(Setup!I$4=Lookups!D$110,Setup!I$4=Lookups!D$111),Projections!BJ12&gt;M$14),VLOOKUP(Setup!I$4,K$17:P$20,4),AND(OR(Setup!I$4=Lookups!D$109,Setup!I$4=Lookups!D$112),Projections!BJ12&gt;L$15),VLOOKUP(Setup!I$4,K$17:P$20,3),AND(OR(Setup!I$4=Lookups!D$110,Setup!I$4=Lookups!D$111),Projections!BJ12&gt;L$14),VLOOKUP(Setup!I$4,K$17:P$20,3),AND(OR(Setup!I$4=Lookups!D$109,Setup!I$4=Lookups!D$112),Projections!BJ12&lt;L$15),VLOOKUP(Setup!I$4,K$17:P$20,2),AND(OR(Setup!I$4=Lookups!D$110,Setup!I$4=Lookups!D$111),Projections!BJ12&lt;L$14),VLOOKUP(Setup!I$4,K$17:P$20,2))</f>
        <v>0</v>
      </c>
      <c r="D12" s="1">
        <f>IF(Projections!AW12+Projections!BG12&gt;0,Projections!AW12+Projections!BG12-C12-VLOOKUP(Setup!I$4,K$23:L$26,2)-IF(VLOOKUP(Setup!I$4,K$31:L$34,2)&gt;Projections!AW12+Projections!BG12,IF(OR(Setup!I$4="Head of household",Setup!I$4="Married filing jointly"),2*L$29, L$29),0),0)</f>
        <v>0</v>
      </c>
      <c r="E12" s="1" cm="1">
        <f t="array" ref="E12">IF(D12&gt;0,_xlfn.IFS(Setup!I$4=Lookups!D$109,-_xlfn.IFS(D12&gt;=L$48, N$48+(D12-L$48)*O$48,D12&gt;=L$47, N$47+(D12-L$47)*O$47,D12&gt;=L$46,N$46+(D12-L$46)*O$46,D12&lt;L$46,D12*O$45),Setup!I$4=Lookups!D$110,-_xlfn.IFS(D12&gt;=L$55, N$55+(D12-L$55)*O$55,D12&gt;=L$54, N$54+(D12-L$54)*O$54,D12&gt;=L$53, N$53+(D12-L$53)*O$53,D12&lt;L$53,D12*O$52),Setup!I$4=Lookups!D$111,-_xlfn.IFS(D12&gt;=L$62, N$62+(D12-L$62)*O$62,D12&gt;=L$61, N$61+(D12-L$61)*O$61,D12&gt;=L$60, N$60+(D12-L$60)*O$60,D12&lt;L$60,D12*O$59), Setup!I$4=Lookups!D$112,-_xlfn.IFS(D12&gt;=L$69, N$69+(D12-L$69)*O$69,D12&gt;=L$68, N$68+(D12-L$68)*O$68,D12&gt;=L$67, N$67+(D12-L$67)*O$67,D12&lt;L$67,D12*O$66)),0)</f>
        <v>0</v>
      </c>
      <c r="F12" s="18">
        <f t="shared" si="1"/>
        <v>0</v>
      </c>
      <c r="G12" s="1">
        <f t="shared" si="2"/>
        <v>0</v>
      </c>
      <c r="I12" s="1"/>
      <c r="J12" s="84"/>
      <c r="V12" s="67"/>
    </row>
    <row r="13" spans="1:22" x14ac:dyDescent="0.3">
      <c r="A13" s="1">
        <f t="shared" si="0"/>
        <v>0</v>
      </c>
      <c r="C13" s="1" cm="1">
        <f t="array" ref="C13">_xlfn.IFS(Projections!BJ13=0,0,AND(OR(Setup!I$4=Lookups!D$109,Setup!I$4=Lookups!D$112),Projections!BJ13&gt;P$15),0,AND(OR(Setup!I$4=Lookups!D$110,Setup!I$4=Lookups!D$111),Projections!BJ13&gt;P$14),0,AND(OR(Setup!I$4=Lookups!D$109,Setup!I$4=Lookups!D$112),Projections!BJ13&gt;O$15),VLOOKUP(Setup!I$4,K$17:P$20,6),AND(OR(Setup!I$4=Lookups!D$110,Setup!I$4=Lookups!D$111),Projections!BJ13&gt;O$14),VLOOKUP(Setup!I$4,K$17:P$20,6),AND(OR(Setup!I$4=Lookups!D$109,Setup!I$4=Lookups!D$112),Projections!BJ13&gt;N$15),VLOOKUP(Setup!I$4,K$17:P$20,5),AND(OR(Setup!I$4=Lookups!D$110,Setup!I$4=Lookups!D$111),Projections!BJ13&gt;N$14),VLOOKUP(Setup!I$4,K$17:P$20,5),AND(OR(Setup!I$4=Lookups!D$109,Setup!I$4=Lookups!D$112),Projections!BJ13&gt;M$15),VLOOKUP(Setup!I$4,K$17:P$20,4),AND(OR(Setup!I$4=Lookups!D$110,Setup!I$4=Lookups!D$111),Projections!BJ13&gt;M$14),VLOOKUP(Setup!I$4,K$17:P$20,4),AND(OR(Setup!I$4=Lookups!D$109,Setup!I$4=Lookups!D$112),Projections!BJ13&gt;L$15),VLOOKUP(Setup!I$4,K$17:P$20,3),AND(OR(Setup!I$4=Lookups!D$110,Setup!I$4=Lookups!D$111),Projections!BJ13&gt;L$14),VLOOKUP(Setup!I$4,K$17:P$20,3),AND(OR(Setup!I$4=Lookups!D$109,Setup!I$4=Lookups!D$112),Projections!BJ13&lt;L$15),VLOOKUP(Setup!I$4,K$17:P$20,2),AND(OR(Setup!I$4=Lookups!D$110,Setup!I$4=Lookups!D$111),Projections!BJ13&lt;L$14),VLOOKUP(Setup!I$4,K$17:P$20,2))</f>
        <v>0</v>
      </c>
      <c r="D13" s="1">
        <f>IF(Projections!AW13+Projections!BG13&gt;0,Projections!AW13+Projections!BG13-C13-VLOOKUP(Setup!I$4,K$23:L$26,2)-IF(VLOOKUP(Setup!I$4,K$31:L$34,2)&gt;Projections!AW13+Projections!BG13,IF(OR(Setup!I$4="Head of household",Setup!I$4="Married filing jointly"),2*L$29, L$29),0),0)</f>
        <v>0</v>
      </c>
      <c r="E13" s="1" cm="1">
        <f t="array" ref="E13">IF(D13&gt;0,_xlfn.IFS(Setup!I$4=Lookups!D$109,-_xlfn.IFS(D13&gt;=L$48, N$48+(D13-L$48)*O$48,D13&gt;=L$47, N$47+(D13-L$47)*O$47,D13&gt;=L$46,N$46+(D13-L$46)*O$46,D13&lt;L$46,D13*O$45),Setup!I$4=Lookups!D$110,-_xlfn.IFS(D13&gt;=L$55, N$55+(D13-L$55)*O$55,D13&gt;=L$54, N$54+(D13-L$54)*O$54,D13&gt;=L$53, N$53+(D13-L$53)*O$53,D13&lt;L$53,D13*O$52),Setup!I$4=Lookups!D$111,-_xlfn.IFS(D13&gt;=L$62, N$62+(D13-L$62)*O$62,D13&gt;=L$61, N$61+(D13-L$61)*O$61,D13&gt;=L$60, N$60+(D13-L$60)*O$60,D13&lt;L$60,D13*O$59), Setup!I$4=Lookups!D$112,-_xlfn.IFS(D13&gt;=L$69, N$69+(D13-L$69)*O$69,D13&gt;=L$68, N$68+(D13-L$68)*O$68,D13&gt;=L$67, N$67+(D13-L$67)*O$67,D13&lt;L$67,D13*O$66)),0)</f>
        <v>0</v>
      </c>
      <c r="F13" s="18">
        <f t="shared" si="1"/>
        <v>0</v>
      </c>
      <c r="G13" s="1">
        <f t="shared" si="2"/>
        <v>0</v>
      </c>
      <c r="I13" s="1"/>
      <c r="J13" s="105"/>
      <c r="K13" s="85" t="s">
        <v>277</v>
      </c>
      <c r="L13" s="86"/>
      <c r="M13" s="87"/>
      <c r="N13" s="48"/>
      <c r="P13" s="88"/>
      <c r="Q13" s="88"/>
      <c r="R13" s="48"/>
      <c r="S13" s="48"/>
      <c r="T13" s="48"/>
      <c r="U13" s="48"/>
      <c r="V13" s="130"/>
    </row>
    <row r="14" spans="1:22" x14ac:dyDescent="0.3">
      <c r="A14" s="1">
        <f t="shared" si="0"/>
        <v>0</v>
      </c>
      <c r="C14" s="1" cm="1">
        <f t="array" ref="C14">_xlfn.IFS(Projections!BJ14=0,0,AND(OR(Setup!I$4=Lookups!D$109,Setup!I$4=Lookups!D$112),Projections!BJ14&gt;P$15),0,AND(OR(Setup!I$4=Lookups!D$110,Setup!I$4=Lookups!D$111),Projections!BJ14&gt;P$14),0,AND(OR(Setup!I$4=Lookups!D$109,Setup!I$4=Lookups!D$112),Projections!BJ14&gt;O$15),VLOOKUP(Setup!I$4,K$17:P$20,6),AND(OR(Setup!I$4=Lookups!D$110,Setup!I$4=Lookups!D$111),Projections!BJ14&gt;O$14),VLOOKUP(Setup!I$4,K$17:P$20,6),AND(OR(Setup!I$4=Lookups!D$109,Setup!I$4=Lookups!D$112),Projections!BJ14&gt;N$15),VLOOKUP(Setup!I$4,K$17:P$20,5),AND(OR(Setup!I$4=Lookups!D$110,Setup!I$4=Lookups!D$111),Projections!BJ14&gt;N$14),VLOOKUP(Setup!I$4,K$17:P$20,5),AND(OR(Setup!I$4=Lookups!D$109,Setup!I$4=Lookups!D$112),Projections!BJ14&gt;M$15),VLOOKUP(Setup!I$4,K$17:P$20,4),AND(OR(Setup!I$4=Lookups!D$110,Setup!I$4=Lookups!D$111),Projections!BJ14&gt;M$14),VLOOKUP(Setup!I$4,K$17:P$20,4),AND(OR(Setup!I$4=Lookups!D$109,Setup!I$4=Lookups!D$112),Projections!BJ14&gt;L$15),VLOOKUP(Setup!I$4,K$17:P$20,3),AND(OR(Setup!I$4=Lookups!D$110,Setup!I$4=Lookups!D$111),Projections!BJ14&gt;L$14),VLOOKUP(Setup!I$4,K$17:P$20,3),AND(OR(Setup!I$4=Lookups!D$109,Setup!I$4=Lookups!D$112),Projections!BJ14&lt;L$15),VLOOKUP(Setup!I$4,K$17:P$20,2),AND(OR(Setup!I$4=Lookups!D$110,Setup!I$4=Lookups!D$111),Projections!BJ14&lt;L$14),VLOOKUP(Setup!I$4,K$17:P$20,2))</f>
        <v>0</v>
      </c>
      <c r="D14" s="1">
        <f>IF(Projections!AW14+Projections!BG14&gt;0,Projections!AW14+Projections!BG14-C14-VLOOKUP(Setup!I$4,K$23:L$26,2)-IF(VLOOKUP(Setup!I$4,K$31:L$34,2)&gt;Projections!AW14+Projections!BG14,IF(OR(Setup!I$4="Head of household",Setup!I$4="Married filing jointly"),2*L$29, L$29),0),0)</f>
        <v>0</v>
      </c>
      <c r="E14" s="1" cm="1">
        <f t="array" ref="E14">IF(D14&gt;0,_xlfn.IFS(Setup!I$4=Lookups!D$109,-_xlfn.IFS(D14&gt;=L$48, N$48+(D14-L$48)*O$48,D14&gt;=L$47, N$47+(D14-L$47)*O$47,D14&gt;=L$46,N$46+(D14-L$46)*O$46,D14&lt;L$46,D14*O$45),Setup!I$4=Lookups!D$110,-_xlfn.IFS(D14&gt;=L$55, N$55+(D14-L$55)*O$55,D14&gt;=L$54, N$54+(D14-L$54)*O$54,D14&gt;=L$53, N$53+(D14-L$53)*O$53,D14&lt;L$53,D14*O$52),Setup!I$4=Lookups!D$111,-_xlfn.IFS(D14&gt;=L$62, N$62+(D14-L$62)*O$62,D14&gt;=L$61, N$61+(D14-L$61)*O$61,D14&gt;=L$60, N$60+(D14-L$60)*O$60,D14&lt;L$60,D14*O$59), Setup!I$4=Lookups!D$112,-_xlfn.IFS(D14&gt;=L$69, N$69+(D14-L$69)*O$69,D14&gt;=L$68, N$68+(D14-L$68)*O$68,D14&gt;=L$67, N$67+(D14-L$67)*O$67,D14&lt;L$67,D14*O$66)),0)</f>
        <v>0</v>
      </c>
      <c r="F14" s="18">
        <f t="shared" si="1"/>
        <v>0</v>
      </c>
      <c r="G14" s="1">
        <f t="shared" si="2"/>
        <v>0</v>
      </c>
      <c r="I14" s="1"/>
      <c r="J14" s="105"/>
      <c r="K14" s="48" t="s">
        <v>109</v>
      </c>
      <c r="L14" s="309">
        <v>250000</v>
      </c>
      <c r="M14" s="309">
        <v>260000</v>
      </c>
      <c r="N14" s="309">
        <v>270000</v>
      </c>
      <c r="O14" s="309">
        <v>280000</v>
      </c>
      <c r="P14" s="309">
        <v>290000</v>
      </c>
      <c r="Q14" s="88" t="s">
        <v>111</v>
      </c>
      <c r="R14" s="48"/>
      <c r="S14" s="48"/>
      <c r="T14" s="48"/>
      <c r="U14" s="48"/>
      <c r="V14" s="130"/>
    </row>
    <row r="15" spans="1:22" x14ac:dyDescent="0.3">
      <c r="A15" s="1">
        <f t="shared" si="0"/>
        <v>0</v>
      </c>
      <c r="C15" s="1" cm="1">
        <f t="array" ref="C15">_xlfn.IFS(Projections!BJ15=0,0,AND(OR(Setup!I$4=Lookups!D$109,Setup!I$4=Lookups!D$112),Projections!BJ15&gt;P$15),0,AND(OR(Setup!I$4=Lookups!D$110,Setup!I$4=Lookups!D$111),Projections!BJ15&gt;P$14),0,AND(OR(Setup!I$4=Lookups!D$109,Setup!I$4=Lookups!D$112),Projections!BJ15&gt;O$15),VLOOKUP(Setup!I$4,K$17:P$20,6),AND(OR(Setup!I$4=Lookups!D$110,Setup!I$4=Lookups!D$111),Projections!BJ15&gt;O$14),VLOOKUP(Setup!I$4,K$17:P$20,6),AND(OR(Setup!I$4=Lookups!D$109,Setup!I$4=Lookups!D$112),Projections!BJ15&gt;N$15),VLOOKUP(Setup!I$4,K$17:P$20,5),AND(OR(Setup!I$4=Lookups!D$110,Setup!I$4=Lookups!D$111),Projections!BJ15&gt;N$14),VLOOKUP(Setup!I$4,K$17:P$20,5),AND(OR(Setup!I$4=Lookups!D$109,Setup!I$4=Lookups!D$112),Projections!BJ15&gt;M$15),VLOOKUP(Setup!I$4,K$17:P$20,4),AND(OR(Setup!I$4=Lookups!D$110,Setup!I$4=Lookups!D$111),Projections!BJ15&gt;M$14),VLOOKUP(Setup!I$4,K$17:P$20,4),AND(OR(Setup!I$4=Lookups!D$109,Setup!I$4=Lookups!D$112),Projections!BJ15&gt;L$15),VLOOKUP(Setup!I$4,K$17:P$20,3),AND(OR(Setup!I$4=Lookups!D$110,Setup!I$4=Lookups!D$111),Projections!BJ15&gt;L$14),VLOOKUP(Setup!I$4,K$17:P$20,3),AND(OR(Setup!I$4=Lookups!D$109,Setup!I$4=Lookups!D$112),Projections!BJ15&lt;L$15),VLOOKUP(Setup!I$4,K$17:P$20,2),AND(OR(Setup!I$4=Lookups!D$110,Setup!I$4=Lookups!D$111),Projections!BJ15&lt;L$14),VLOOKUP(Setup!I$4,K$17:P$20,2))</f>
        <v>0</v>
      </c>
      <c r="D15" s="1">
        <f>IF(Projections!AW15+Projections!BG15&gt;0,Projections!AW15+Projections!BG15-C15-VLOOKUP(Setup!I$4,K$23:L$26,2)-IF(VLOOKUP(Setup!I$4,K$31:L$34,2)&gt;Projections!AW15+Projections!BG15,IF(OR(Setup!I$4="Head of household",Setup!I$4="Married filing jointly"),2*L$29, L$29),0),0)</f>
        <v>0</v>
      </c>
      <c r="E15" s="1" cm="1">
        <f t="array" ref="E15">IF(D15&gt;0,_xlfn.IFS(Setup!I$4=Lookups!D$109,-_xlfn.IFS(D15&gt;=L$48, N$48+(D15-L$48)*O$48,D15&gt;=L$47, N$47+(D15-L$47)*O$47,D15&gt;=L$46,N$46+(D15-L$46)*O$46,D15&lt;L$46,D15*O$45),Setup!I$4=Lookups!D$110,-_xlfn.IFS(D15&gt;=L$55, N$55+(D15-L$55)*O$55,D15&gt;=L$54, N$54+(D15-L$54)*O$54,D15&gt;=L$53, N$53+(D15-L$53)*O$53,D15&lt;L$53,D15*O$52),Setup!I$4=Lookups!D$111,-_xlfn.IFS(D15&gt;=L$62, N$62+(D15-L$62)*O$62,D15&gt;=L$61, N$61+(D15-L$61)*O$61,D15&gt;=L$60, N$60+(D15-L$60)*O$60,D15&lt;L$60,D15*O$59), Setup!I$4=Lookups!D$112,-_xlfn.IFS(D15&gt;=L$69, N$69+(D15-L$69)*O$69,D15&gt;=L$68, N$68+(D15-L$68)*O$68,D15&gt;=L$67, N$67+(D15-L$67)*O$67,D15&lt;L$67,D15*O$66)),0)</f>
        <v>0</v>
      </c>
      <c r="F15" s="18">
        <f t="shared" si="1"/>
        <v>0</v>
      </c>
      <c r="G15" s="1">
        <f t="shared" si="2"/>
        <v>0</v>
      </c>
      <c r="I15" s="1"/>
      <c r="J15" s="105"/>
      <c r="K15" s="48" t="s">
        <v>109</v>
      </c>
      <c r="L15" s="309">
        <v>125000</v>
      </c>
      <c r="M15" s="309">
        <v>130000</v>
      </c>
      <c r="N15" s="309">
        <v>135000</v>
      </c>
      <c r="O15" s="309">
        <v>140000</v>
      </c>
      <c r="P15" s="309">
        <v>145000</v>
      </c>
      <c r="Q15" s="126" t="s">
        <v>110</v>
      </c>
      <c r="R15" s="48"/>
      <c r="S15" s="48"/>
      <c r="T15" s="48"/>
      <c r="U15" s="48"/>
      <c r="V15" s="130"/>
    </row>
    <row r="16" spans="1:22" x14ac:dyDescent="0.3">
      <c r="A16" s="1">
        <f t="shared" si="0"/>
        <v>0</v>
      </c>
      <c r="C16" s="1" cm="1">
        <f t="array" ref="C16">_xlfn.IFS(Projections!BJ16=0,0,AND(OR(Setup!I$4=Lookups!D$109,Setup!I$4=Lookups!D$112),Projections!BJ16&gt;P$15),0,AND(OR(Setup!I$4=Lookups!D$110,Setup!I$4=Lookups!D$111),Projections!BJ16&gt;P$14),0,AND(OR(Setup!I$4=Lookups!D$109,Setup!I$4=Lookups!D$112),Projections!BJ16&gt;O$15),VLOOKUP(Setup!I$4,K$17:P$20,6),AND(OR(Setup!I$4=Lookups!D$110,Setup!I$4=Lookups!D$111),Projections!BJ16&gt;O$14),VLOOKUP(Setup!I$4,K$17:P$20,6),AND(OR(Setup!I$4=Lookups!D$109,Setup!I$4=Lookups!D$112),Projections!BJ16&gt;N$15),VLOOKUP(Setup!I$4,K$17:P$20,5),AND(OR(Setup!I$4=Lookups!D$110,Setup!I$4=Lookups!D$111),Projections!BJ16&gt;N$14),VLOOKUP(Setup!I$4,K$17:P$20,5),AND(OR(Setup!I$4=Lookups!D$109,Setup!I$4=Lookups!D$112),Projections!BJ16&gt;M$15),VLOOKUP(Setup!I$4,K$17:P$20,4),AND(OR(Setup!I$4=Lookups!D$110,Setup!I$4=Lookups!D$111),Projections!BJ16&gt;M$14),VLOOKUP(Setup!I$4,K$17:P$20,4),AND(OR(Setup!I$4=Lookups!D$109,Setup!I$4=Lookups!D$112),Projections!BJ16&gt;L$15),VLOOKUP(Setup!I$4,K$17:P$20,3),AND(OR(Setup!I$4=Lookups!D$110,Setup!I$4=Lookups!D$111),Projections!BJ16&gt;L$14),VLOOKUP(Setup!I$4,K$17:P$20,3),AND(OR(Setup!I$4=Lookups!D$109,Setup!I$4=Lookups!D$112),Projections!BJ16&lt;L$15),VLOOKUP(Setup!I$4,K$17:P$20,2),AND(OR(Setup!I$4=Lookups!D$110,Setup!I$4=Lookups!D$111),Projections!BJ16&lt;L$14),VLOOKUP(Setup!I$4,K$17:P$20,2))</f>
        <v>0</v>
      </c>
      <c r="D16" s="1">
        <f>IF(Projections!AW16+Projections!BG16&gt;0,Projections!AW16+Projections!BG16-C16-VLOOKUP(Setup!I$4,K$23:L$26,2)-IF(VLOOKUP(Setup!I$4,K$31:L$34,2)&gt;Projections!AW16+Projections!BG16,IF(OR(Setup!I$4="Head of household",Setup!I$4="Married filing jointly"),2*L$29, L$29),0),0)</f>
        <v>0</v>
      </c>
      <c r="E16" s="1" cm="1">
        <f t="array" ref="E16">IF(D16&gt;0,_xlfn.IFS(Setup!I$4=Lookups!D$109,-_xlfn.IFS(D16&gt;=L$48, N$48+(D16-L$48)*O$48,D16&gt;=L$47, N$47+(D16-L$47)*O$47,D16&gt;=L$46,N$46+(D16-L$46)*O$46,D16&lt;L$46,D16*O$45),Setup!I$4=Lookups!D$110,-_xlfn.IFS(D16&gt;=L$55, N$55+(D16-L$55)*O$55,D16&gt;=L$54, N$54+(D16-L$54)*O$54,D16&gt;=L$53, N$53+(D16-L$53)*O$53,D16&lt;L$53,D16*O$52),Setup!I$4=Lookups!D$111,-_xlfn.IFS(D16&gt;=L$62, N$62+(D16-L$62)*O$62,D16&gt;=L$61, N$61+(D16-L$61)*O$61,D16&gt;=L$60, N$60+(D16-L$60)*O$60,D16&lt;L$60,D16*O$59), Setup!I$4=Lookups!D$112,-_xlfn.IFS(D16&gt;=L$69, N$69+(D16-L$69)*O$69,D16&gt;=L$68, N$68+(D16-L$68)*O$68,D16&gt;=L$67, N$67+(D16-L$67)*O$67,D16&lt;L$67,D16*O$66)),0)</f>
        <v>0</v>
      </c>
      <c r="F16" s="18">
        <f t="shared" si="1"/>
        <v>0</v>
      </c>
      <c r="G16" s="1">
        <f t="shared" si="2"/>
        <v>0</v>
      </c>
      <c r="I16" s="1"/>
      <c r="J16" s="105"/>
      <c r="K16" s="47" t="s">
        <v>278</v>
      </c>
      <c r="L16" s="86"/>
      <c r="M16" s="48"/>
      <c r="N16" s="88"/>
      <c r="O16" s="88"/>
      <c r="P16" s="88"/>
      <c r="Q16" s="126"/>
      <c r="R16" s="48"/>
      <c r="S16" s="48"/>
      <c r="T16" s="48"/>
      <c r="U16" s="48"/>
      <c r="V16" s="130"/>
    </row>
    <row r="17" spans="1:22" x14ac:dyDescent="0.3">
      <c r="A17" s="1">
        <f t="shared" si="0"/>
        <v>0</v>
      </c>
      <c r="C17" s="1" cm="1">
        <f t="array" ref="C17">_xlfn.IFS(Projections!BJ17=0,0,AND(OR(Setup!I$4=Lookups!D$109,Setup!I$4=Lookups!D$112),Projections!BJ17&gt;P$15),0,AND(OR(Setup!I$4=Lookups!D$110,Setup!I$4=Lookups!D$111),Projections!BJ17&gt;P$14),0,AND(OR(Setup!I$4=Lookups!D$109,Setup!I$4=Lookups!D$112),Projections!BJ17&gt;O$15),VLOOKUP(Setup!I$4,K$17:P$20,6),AND(OR(Setup!I$4=Lookups!D$110,Setup!I$4=Lookups!D$111),Projections!BJ17&gt;O$14),VLOOKUP(Setup!I$4,K$17:P$20,6),AND(OR(Setup!I$4=Lookups!D$109,Setup!I$4=Lookups!D$112),Projections!BJ17&gt;N$15),VLOOKUP(Setup!I$4,K$17:P$20,5),AND(OR(Setup!I$4=Lookups!D$110,Setup!I$4=Lookups!D$111),Projections!BJ17&gt;N$14),VLOOKUP(Setup!I$4,K$17:P$20,5),AND(OR(Setup!I$4=Lookups!D$109,Setup!I$4=Lookups!D$112),Projections!BJ17&gt;M$15),VLOOKUP(Setup!I$4,K$17:P$20,4),AND(OR(Setup!I$4=Lookups!D$110,Setup!I$4=Lookups!D$111),Projections!BJ17&gt;M$14),VLOOKUP(Setup!I$4,K$17:P$20,4),AND(OR(Setup!I$4=Lookups!D$109,Setup!I$4=Lookups!D$112),Projections!BJ17&gt;L$15),VLOOKUP(Setup!I$4,K$17:P$20,3),AND(OR(Setup!I$4=Lookups!D$110,Setup!I$4=Lookups!D$111),Projections!BJ17&gt;L$14),VLOOKUP(Setup!I$4,K$17:P$20,3),AND(OR(Setup!I$4=Lookups!D$109,Setup!I$4=Lookups!D$112),Projections!BJ17&lt;L$15),VLOOKUP(Setup!I$4,K$17:P$20,2),AND(OR(Setup!I$4=Lookups!D$110,Setup!I$4=Lookups!D$111),Projections!BJ17&lt;L$14),VLOOKUP(Setup!I$4,K$17:P$20,2))</f>
        <v>0</v>
      </c>
      <c r="D17" s="1">
        <f>IF(Projections!AW17+Projections!BG17&gt;0,Projections!AW17+Projections!BG17-C17-VLOOKUP(Setup!I$4,K$23:L$26,2)-IF(VLOOKUP(Setup!I$4,K$31:L$34,2)&gt;Projections!AW17+Projections!BG17,IF(OR(Setup!I$4="Head of household",Setup!I$4="Married filing jointly"),2*L$29, L$29),0),0)</f>
        <v>0</v>
      </c>
      <c r="E17" s="1" cm="1">
        <f t="array" ref="E17">IF(D17&gt;0,_xlfn.IFS(Setup!I$4=Lookups!D$109,-_xlfn.IFS(D17&gt;=L$48, N$48+(D17-L$48)*O$48,D17&gt;=L$47, N$47+(D17-L$47)*O$47,D17&gt;=L$46,N$46+(D17-L$46)*O$46,D17&lt;L$46,D17*O$45),Setup!I$4=Lookups!D$110,-_xlfn.IFS(D17&gt;=L$55, N$55+(D17-L$55)*O$55,D17&gt;=L$54, N$54+(D17-L$54)*O$54,D17&gt;=L$53, N$53+(D17-L$53)*O$53,D17&lt;L$53,D17*O$52),Setup!I$4=Lookups!D$111,-_xlfn.IFS(D17&gt;=L$62, N$62+(D17-L$62)*O$62,D17&gt;=L$61, N$61+(D17-L$61)*O$61,D17&gt;=L$60, N$60+(D17-L$60)*O$60,D17&lt;L$60,D17*O$59), Setup!I$4=Lookups!D$112,-_xlfn.IFS(D17&gt;=L$69, N$69+(D17-L$69)*O$69,D17&gt;=L$68, N$68+(D17-L$68)*O$68,D17&gt;=L$67, N$67+(D17-L$67)*O$67,D17&lt;L$67,D17*O$66)),0)</f>
        <v>0</v>
      </c>
      <c r="F17" s="18">
        <f t="shared" si="1"/>
        <v>0</v>
      </c>
      <c r="G17" s="1">
        <f t="shared" si="2"/>
        <v>0</v>
      </c>
      <c r="I17" s="1"/>
      <c r="J17" s="105"/>
      <c r="K17" s="57" t="str">
        <f>Lookups!D$111</f>
        <v>Head of household</v>
      </c>
      <c r="L17" s="309">
        <v>7500</v>
      </c>
      <c r="M17" s="309">
        <v>5650</v>
      </c>
      <c r="N17" s="309">
        <v>4200</v>
      </c>
      <c r="O17" s="309">
        <v>2800</v>
      </c>
      <c r="P17" s="309">
        <v>1400</v>
      </c>
      <c r="Q17" s="87"/>
      <c r="R17" s="88"/>
      <c r="S17" s="87"/>
      <c r="T17" s="87"/>
      <c r="U17" s="87"/>
      <c r="V17" s="130"/>
    </row>
    <row r="18" spans="1:22" x14ac:dyDescent="0.3">
      <c r="A18" s="1">
        <f t="shared" si="0"/>
        <v>0</v>
      </c>
      <c r="C18" s="1" cm="1">
        <f t="array" ref="C18">_xlfn.IFS(Projections!BJ18=0,0,AND(OR(Setup!I$4=Lookups!D$109,Setup!I$4=Lookups!D$112),Projections!BJ18&gt;P$15),0,AND(OR(Setup!I$4=Lookups!D$110,Setup!I$4=Lookups!D$111),Projections!BJ18&gt;P$14),0,AND(OR(Setup!I$4=Lookups!D$109,Setup!I$4=Lookups!D$112),Projections!BJ18&gt;O$15),VLOOKUP(Setup!I$4,K$17:P$20,6),AND(OR(Setup!I$4=Lookups!D$110,Setup!I$4=Lookups!D$111),Projections!BJ18&gt;O$14),VLOOKUP(Setup!I$4,K$17:P$20,6),AND(OR(Setup!I$4=Lookups!D$109,Setup!I$4=Lookups!D$112),Projections!BJ18&gt;N$15),VLOOKUP(Setup!I$4,K$17:P$20,5),AND(OR(Setup!I$4=Lookups!D$110,Setup!I$4=Lookups!D$111),Projections!BJ18&gt;N$14),VLOOKUP(Setup!I$4,K$17:P$20,5),AND(OR(Setup!I$4=Lookups!D$109,Setup!I$4=Lookups!D$112),Projections!BJ18&gt;M$15),VLOOKUP(Setup!I$4,K$17:P$20,4),AND(OR(Setup!I$4=Lookups!D$110,Setup!I$4=Lookups!D$111),Projections!BJ18&gt;M$14),VLOOKUP(Setup!I$4,K$17:P$20,4),AND(OR(Setup!I$4=Lookups!D$109,Setup!I$4=Lookups!D$112),Projections!BJ18&gt;L$15),VLOOKUP(Setup!I$4,K$17:P$20,3),AND(OR(Setup!I$4=Lookups!D$110,Setup!I$4=Lookups!D$111),Projections!BJ18&gt;L$14),VLOOKUP(Setup!I$4,K$17:P$20,3),AND(OR(Setup!I$4=Lookups!D$109,Setup!I$4=Lookups!D$112),Projections!BJ18&lt;L$15),VLOOKUP(Setup!I$4,K$17:P$20,2),AND(OR(Setup!I$4=Lookups!D$110,Setup!I$4=Lookups!D$111),Projections!BJ18&lt;L$14),VLOOKUP(Setup!I$4,K$17:P$20,2))</f>
        <v>0</v>
      </c>
      <c r="D18" s="1">
        <f>IF(Projections!AW18+Projections!BG18&gt;0,Projections!AW18+Projections!BG18-C18-VLOOKUP(Setup!I$4,K$23:L$26,2)-IF(VLOOKUP(Setup!I$4,K$31:L$34,2)&gt;Projections!AW18+Projections!BG18,IF(OR(Setup!I$4="Head of household",Setup!I$4="Married filing jointly"),2*L$29, L$29),0),0)</f>
        <v>0</v>
      </c>
      <c r="E18" s="1" cm="1">
        <f t="array" ref="E18">IF(D18&gt;0,_xlfn.IFS(Setup!I$4=Lookups!D$109,-_xlfn.IFS(D18&gt;=L$48, N$48+(D18-L$48)*O$48,D18&gt;=L$47, N$47+(D18-L$47)*O$47,D18&gt;=L$46,N$46+(D18-L$46)*O$46,D18&lt;L$46,D18*O$45),Setup!I$4=Lookups!D$110,-_xlfn.IFS(D18&gt;=L$55, N$55+(D18-L$55)*O$55,D18&gt;=L$54, N$54+(D18-L$54)*O$54,D18&gt;=L$53, N$53+(D18-L$53)*O$53,D18&lt;L$53,D18*O$52),Setup!I$4=Lookups!D$111,-_xlfn.IFS(D18&gt;=L$62, N$62+(D18-L$62)*O$62,D18&gt;=L$61, N$61+(D18-L$61)*O$61,D18&gt;=L$60, N$60+(D18-L$60)*O$60,D18&lt;L$60,D18*O$59), Setup!I$4=Lookups!D$112,-_xlfn.IFS(D18&gt;=L$69, N$69+(D18-L$69)*O$69,D18&gt;=L$68, N$68+(D18-L$68)*O$68,D18&gt;=L$67, N$67+(D18-L$67)*O$67,D18&lt;L$67,D18*O$66)),0)</f>
        <v>0</v>
      </c>
      <c r="F18" s="18">
        <f t="shared" si="1"/>
        <v>0</v>
      </c>
      <c r="G18" s="1">
        <f t="shared" si="2"/>
        <v>0</v>
      </c>
      <c r="H18" s="1"/>
      <c r="I18" s="1"/>
      <c r="J18" s="105"/>
      <c r="K18" s="57" t="str">
        <f>Lookups!D$110</f>
        <v>Married filing jointly</v>
      </c>
      <c r="L18" s="309">
        <v>7050</v>
      </c>
      <c r="M18" s="309">
        <v>5650</v>
      </c>
      <c r="N18" s="309">
        <v>4200</v>
      </c>
      <c r="O18" s="309">
        <v>2800</v>
      </c>
      <c r="P18" s="309">
        <v>1400</v>
      </c>
      <c r="Q18" s="48"/>
      <c r="R18" s="48"/>
      <c r="S18" s="48"/>
      <c r="T18" s="48"/>
      <c r="U18" s="48"/>
      <c r="V18" s="130"/>
    </row>
    <row r="19" spans="1:22" x14ac:dyDescent="0.3">
      <c r="A19" s="1">
        <f t="shared" si="0"/>
        <v>0</v>
      </c>
      <c r="C19" s="1" cm="1">
        <f t="array" ref="C19">_xlfn.IFS(Projections!BJ19=0,0,AND(OR(Setup!I$4=Lookups!D$109,Setup!I$4=Lookups!D$112),Projections!BJ19&gt;P$15),0,AND(OR(Setup!I$4=Lookups!D$110,Setup!I$4=Lookups!D$111),Projections!BJ19&gt;P$14),0,AND(OR(Setup!I$4=Lookups!D$109,Setup!I$4=Lookups!D$112),Projections!BJ19&gt;O$15),VLOOKUP(Setup!I$4,K$17:P$20,6),AND(OR(Setup!I$4=Lookups!D$110,Setup!I$4=Lookups!D$111),Projections!BJ19&gt;O$14),VLOOKUP(Setup!I$4,K$17:P$20,6),AND(OR(Setup!I$4=Lookups!D$109,Setup!I$4=Lookups!D$112),Projections!BJ19&gt;N$15),VLOOKUP(Setup!I$4,K$17:P$20,5),AND(OR(Setup!I$4=Lookups!D$110,Setup!I$4=Lookups!D$111),Projections!BJ19&gt;N$14),VLOOKUP(Setup!I$4,K$17:P$20,5),AND(OR(Setup!I$4=Lookups!D$109,Setup!I$4=Lookups!D$112),Projections!BJ19&gt;M$15),VLOOKUP(Setup!I$4,K$17:P$20,4),AND(OR(Setup!I$4=Lookups!D$110,Setup!I$4=Lookups!D$111),Projections!BJ19&gt;M$14),VLOOKUP(Setup!I$4,K$17:P$20,4),AND(OR(Setup!I$4=Lookups!D$109,Setup!I$4=Lookups!D$112),Projections!BJ19&gt;L$15),VLOOKUP(Setup!I$4,K$17:P$20,3),AND(OR(Setup!I$4=Lookups!D$110,Setup!I$4=Lookups!D$111),Projections!BJ19&gt;L$14),VLOOKUP(Setup!I$4,K$17:P$20,3),AND(OR(Setup!I$4=Lookups!D$109,Setup!I$4=Lookups!D$112),Projections!BJ19&lt;L$15),VLOOKUP(Setup!I$4,K$17:P$20,2),AND(OR(Setup!I$4=Lookups!D$110,Setup!I$4=Lookups!D$111),Projections!BJ19&lt;L$14),VLOOKUP(Setup!I$4,K$17:P$20,2))</f>
        <v>0</v>
      </c>
      <c r="D19" s="1">
        <f>IF(Projections!AW19+Projections!BG19&gt;0,Projections!AW19+Projections!BG19-C19-VLOOKUP(Setup!I$4,K$23:L$26,2)-IF(VLOOKUP(Setup!I$4,K$31:L$34,2)&gt;Projections!AW19+Projections!BG19,IF(OR(Setup!I$4="Head of household",Setup!I$4="Married filing jointly"),2*L$29, L$29),0),0)</f>
        <v>0</v>
      </c>
      <c r="E19" s="1" cm="1">
        <f t="array" ref="E19">IF(D19&gt;0,_xlfn.IFS(Setup!I$4=Lookups!D$109,-_xlfn.IFS(D19&gt;=L$48, N$48+(D19-L$48)*O$48,D19&gt;=L$47, N$47+(D19-L$47)*O$47,D19&gt;=L$46,N$46+(D19-L$46)*O$46,D19&lt;L$46,D19*O$45),Setup!I$4=Lookups!D$110,-_xlfn.IFS(D19&gt;=L$55, N$55+(D19-L$55)*O$55,D19&gt;=L$54, N$54+(D19-L$54)*O$54,D19&gt;=L$53, N$53+(D19-L$53)*O$53,D19&lt;L$53,D19*O$52),Setup!I$4=Lookups!D$111,-_xlfn.IFS(D19&gt;=L$62, N$62+(D19-L$62)*O$62,D19&gt;=L$61, N$61+(D19-L$61)*O$61,D19&gt;=L$60, N$60+(D19-L$60)*O$60,D19&lt;L$60,D19*O$59), Setup!I$4=Lookups!D$112,-_xlfn.IFS(D19&gt;=L$69, N$69+(D19-L$69)*O$69,D19&gt;=L$68, N$68+(D19-L$68)*O$68,D19&gt;=L$67, N$67+(D19-L$67)*O$67,D19&lt;L$67,D19*O$66)),0)</f>
        <v>0</v>
      </c>
      <c r="F19" s="18">
        <f t="shared" si="1"/>
        <v>0</v>
      </c>
      <c r="G19" s="1">
        <f t="shared" si="2"/>
        <v>0</v>
      </c>
      <c r="H19" s="1"/>
      <c r="I19" s="1"/>
      <c r="J19" s="105"/>
      <c r="K19" s="57" t="str">
        <f>Lookups!D$112</f>
        <v>Married filing separately</v>
      </c>
      <c r="L19" s="309">
        <v>3525</v>
      </c>
      <c r="M19" s="309">
        <v>2825</v>
      </c>
      <c r="N19" s="309">
        <v>2100</v>
      </c>
      <c r="O19" s="309">
        <v>1400</v>
      </c>
      <c r="P19" s="309">
        <v>700</v>
      </c>
      <c r="Q19" s="48"/>
      <c r="R19" s="48"/>
      <c r="S19" s="48"/>
      <c r="T19" s="48"/>
      <c r="U19" s="48"/>
      <c r="V19" s="130"/>
    </row>
    <row r="20" spans="1:22" x14ac:dyDescent="0.3">
      <c r="A20" s="1">
        <f t="shared" si="0"/>
        <v>0</v>
      </c>
      <c r="C20" s="1" cm="1">
        <f t="array" ref="C20">_xlfn.IFS(Projections!BJ20=0,0,AND(OR(Setup!I$4=Lookups!D$109,Setup!I$4=Lookups!D$112),Projections!BJ20&gt;P$15),0,AND(OR(Setup!I$4=Lookups!D$110,Setup!I$4=Lookups!D$111),Projections!BJ20&gt;P$14),0,AND(OR(Setup!I$4=Lookups!D$109,Setup!I$4=Lookups!D$112),Projections!BJ20&gt;O$15),VLOOKUP(Setup!I$4,K$17:P$20,6),AND(OR(Setup!I$4=Lookups!D$110,Setup!I$4=Lookups!D$111),Projections!BJ20&gt;O$14),VLOOKUP(Setup!I$4,K$17:P$20,6),AND(OR(Setup!I$4=Lookups!D$109,Setup!I$4=Lookups!D$112),Projections!BJ20&gt;N$15),VLOOKUP(Setup!I$4,K$17:P$20,5),AND(OR(Setup!I$4=Lookups!D$110,Setup!I$4=Lookups!D$111),Projections!BJ20&gt;N$14),VLOOKUP(Setup!I$4,K$17:P$20,5),AND(OR(Setup!I$4=Lookups!D$109,Setup!I$4=Lookups!D$112),Projections!BJ20&gt;M$15),VLOOKUP(Setup!I$4,K$17:P$20,4),AND(OR(Setup!I$4=Lookups!D$110,Setup!I$4=Lookups!D$111),Projections!BJ20&gt;M$14),VLOOKUP(Setup!I$4,K$17:P$20,4),AND(OR(Setup!I$4=Lookups!D$109,Setup!I$4=Lookups!D$112),Projections!BJ20&gt;L$15),VLOOKUP(Setup!I$4,K$17:P$20,3),AND(OR(Setup!I$4=Lookups!D$110,Setup!I$4=Lookups!D$111),Projections!BJ20&gt;L$14),VLOOKUP(Setup!I$4,K$17:P$20,3),AND(OR(Setup!I$4=Lookups!D$109,Setup!I$4=Lookups!D$112),Projections!BJ20&lt;L$15),VLOOKUP(Setup!I$4,K$17:P$20,2),AND(OR(Setup!I$4=Lookups!D$110,Setup!I$4=Lookups!D$111),Projections!BJ20&lt;L$14),VLOOKUP(Setup!I$4,K$17:P$20,2))</f>
        <v>0</v>
      </c>
      <c r="D20" s="1">
        <f>IF(Projections!AW20+Projections!BG20&gt;0,Projections!AW20+Projections!BG20-C20-VLOOKUP(Setup!I$4,K$23:L$26,2)-IF(VLOOKUP(Setup!I$4,K$31:L$34,2)&gt;Projections!AW20+Projections!BG20,IF(OR(Setup!I$4="Head of household",Setup!I$4="Married filing jointly"),2*L$29, L$29),0),0)</f>
        <v>0</v>
      </c>
      <c r="E20" s="1" cm="1">
        <f t="array" ref="E20">IF(D20&gt;0,_xlfn.IFS(Setup!I$4=Lookups!D$109,-_xlfn.IFS(D20&gt;=L$48, N$48+(D20-L$48)*O$48,D20&gt;=L$47, N$47+(D20-L$47)*O$47,D20&gt;=L$46,N$46+(D20-L$46)*O$46,D20&lt;L$46,D20*O$45),Setup!I$4=Lookups!D$110,-_xlfn.IFS(D20&gt;=L$55, N$55+(D20-L$55)*O$55,D20&gt;=L$54, N$54+(D20-L$54)*O$54,D20&gt;=L$53, N$53+(D20-L$53)*O$53,D20&lt;L$53,D20*O$52),Setup!I$4=Lookups!D$111,-_xlfn.IFS(D20&gt;=L$62, N$62+(D20-L$62)*O$62,D20&gt;=L$61, N$61+(D20-L$61)*O$61,D20&gt;=L$60, N$60+(D20-L$60)*O$60,D20&lt;L$60,D20*O$59), Setup!I$4=Lookups!D$112,-_xlfn.IFS(D20&gt;=L$69, N$69+(D20-L$69)*O$69,D20&gt;=L$68, N$68+(D20-L$68)*O$68,D20&gt;=L$67, N$67+(D20-L$67)*O$67,D20&lt;L$67,D20*O$66)),0)</f>
        <v>0</v>
      </c>
      <c r="F20" s="18">
        <f t="shared" si="1"/>
        <v>0</v>
      </c>
      <c r="G20" s="1">
        <f t="shared" si="2"/>
        <v>0</v>
      </c>
      <c r="H20" s="1"/>
      <c r="I20" s="1"/>
      <c r="J20" s="105"/>
      <c r="K20" s="57" t="str">
        <f>Lookups!D$109</f>
        <v>Single</v>
      </c>
      <c r="L20" s="309">
        <v>7050</v>
      </c>
      <c r="M20" s="309">
        <v>5650</v>
      </c>
      <c r="N20" s="309">
        <v>4200</v>
      </c>
      <c r="O20" s="309">
        <v>2800</v>
      </c>
      <c r="P20" s="309">
        <v>1400</v>
      </c>
      <c r="Q20" s="87"/>
      <c r="R20" s="87"/>
      <c r="S20" s="87"/>
      <c r="T20" s="87"/>
      <c r="U20" s="87"/>
      <c r="V20" s="130"/>
    </row>
    <row r="21" spans="1:22" x14ac:dyDescent="0.3">
      <c r="A21" s="1">
        <f t="shared" si="0"/>
        <v>0</v>
      </c>
      <c r="C21" s="1" cm="1">
        <f t="array" ref="C21">_xlfn.IFS(Projections!BJ21=0,0,AND(OR(Setup!I$4=Lookups!D$109,Setup!I$4=Lookups!D$112),Projections!BJ21&gt;P$15),0,AND(OR(Setup!I$4=Lookups!D$110,Setup!I$4=Lookups!D$111),Projections!BJ21&gt;P$14),0,AND(OR(Setup!I$4=Lookups!D$109,Setup!I$4=Lookups!D$112),Projections!BJ21&gt;O$15),VLOOKUP(Setup!I$4,K$17:P$20,6),AND(OR(Setup!I$4=Lookups!D$110,Setup!I$4=Lookups!D$111),Projections!BJ21&gt;O$14),VLOOKUP(Setup!I$4,K$17:P$20,6),AND(OR(Setup!I$4=Lookups!D$109,Setup!I$4=Lookups!D$112),Projections!BJ21&gt;N$15),VLOOKUP(Setup!I$4,K$17:P$20,5),AND(OR(Setup!I$4=Lookups!D$110,Setup!I$4=Lookups!D$111),Projections!BJ21&gt;N$14),VLOOKUP(Setup!I$4,K$17:P$20,5),AND(OR(Setup!I$4=Lookups!D$109,Setup!I$4=Lookups!D$112),Projections!BJ21&gt;M$15),VLOOKUP(Setup!I$4,K$17:P$20,4),AND(OR(Setup!I$4=Lookups!D$110,Setup!I$4=Lookups!D$111),Projections!BJ21&gt;M$14),VLOOKUP(Setup!I$4,K$17:P$20,4),AND(OR(Setup!I$4=Lookups!D$109,Setup!I$4=Lookups!D$112),Projections!BJ21&gt;L$15),VLOOKUP(Setup!I$4,K$17:P$20,3),AND(OR(Setup!I$4=Lookups!D$110,Setup!I$4=Lookups!D$111),Projections!BJ21&gt;L$14),VLOOKUP(Setup!I$4,K$17:P$20,3),AND(OR(Setup!I$4=Lookups!D$109,Setup!I$4=Lookups!D$112),Projections!BJ21&lt;L$15),VLOOKUP(Setup!I$4,K$17:P$20,2),AND(OR(Setup!I$4=Lookups!D$110,Setup!I$4=Lookups!D$111),Projections!BJ21&lt;L$14),VLOOKUP(Setup!I$4,K$17:P$20,2))</f>
        <v>0</v>
      </c>
      <c r="D21" s="1">
        <f>IF(Projections!AW21+Projections!BG21&gt;0,Projections!AW21+Projections!BG21-C21-VLOOKUP(Setup!I$4,K$23:L$26,2)-IF(VLOOKUP(Setup!I$4,K$31:L$34,2)&gt;Projections!AW21+Projections!BG21,IF(OR(Setup!I$4="Head of household",Setup!I$4="Married filing jointly"),2*L$29, L$29),0),0)</f>
        <v>0</v>
      </c>
      <c r="E21" s="1" cm="1">
        <f t="array" ref="E21">IF(D21&gt;0,_xlfn.IFS(Setup!I$4=Lookups!D$109,-_xlfn.IFS(D21&gt;=L$48, N$48+(D21-L$48)*O$48,D21&gt;=L$47, N$47+(D21-L$47)*O$47,D21&gt;=L$46,N$46+(D21-L$46)*O$46,D21&lt;L$46,D21*O$45),Setup!I$4=Lookups!D$110,-_xlfn.IFS(D21&gt;=L$55, N$55+(D21-L$55)*O$55,D21&gt;=L$54, N$54+(D21-L$54)*O$54,D21&gt;=L$53, N$53+(D21-L$53)*O$53,D21&lt;L$53,D21*O$52),Setup!I$4=Lookups!D$111,-_xlfn.IFS(D21&gt;=L$62, N$62+(D21-L$62)*O$62,D21&gt;=L$61, N$61+(D21-L$61)*O$61,D21&gt;=L$60, N$60+(D21-L$60)*O$60,D21&lt;L$60,D21*O$59), Setup!I$4=Lookups!D$112,-_xlfn.IFS(D21&gt;=L$69, N$69+(D21-L$69)*O$69,D21&gt;=L$68, N$68+(D21-L$68)*O$68,D21&gt;=L$67, N$67+(D21-L$67)*O$67,D21&lt;L$67,D21*O$66)),0)</f>
        <v>0</v>
      </c>
      <c r="F21" s="18">
        <f t="shared" si="1"/>
        <v>0</v>
      </c>
      <c r="G21" s="1">
        <f t="shared" si="2"/>
        <v>0</v>
      </c>
      <c r="H21" s="1"/>
      <c r="I21" s="1"/>
      <c r="J21" s="105"/>
      <c r="K21" s="85"/>
      <c r="L21" s="86"/>
      <c r="M21" s="87"/>
      <c r="N21" s="88"/>
      <c r="O21" s="88"/>
      <c r="P21" s="88"/>
      <c r="Q21" s="88"/>
      <c r="R21" s="48"/>
      <c r="S21" s="48"/>
      <c r="T21" s="48"/>
      <c r="U21" s="48"/>
      <c r="V21" s="130"/>
    </row>
    <row r="22" spans="1:22" x14ac:dyDescent="0.3">
      <c r="A22" s="1">
        <f t="shared" si="0"/>
        <v>0</v>
      </c>
      <c r="C22" s="1" cm="1">
        <f t="array" ref="C22">_xlfn.IFS(Projections!BJ22=0,0,AND(OR(Setup!I$4=Lookups!D$109,Setup!I$4=Lookups!D$112),Projections!BJ22&gt;P$15),0,AND(OR(Setup!I$4=Lookups!D$110,Setup!I$4=Lookups!D$111),Projections!BJ22&gt;P$14),0,AND(OR(Setup!I$4=Lookups!D$109,Setup!I$4=Lookups!D$112),Projections!BJ22&gt;O$15),VLOOKUP(Setup!I$4,K$17:P$20,6),AND(OR(Setup!I$4=Lookups!D$110,Setup!I$4=Lookups!D$111),Projections!BJ22&gt;O$14),VLOOKUP(Setup!I$4,K$17:P$20,6),AND(OR(Setup!I$4=Lookups!D$109,Setup!I$4=Lookups!D$112),Projections!BJ22&gt;N$15),VLOOKUP(Setup!I$4,K$17:P$20,5),AND(OR(Setup!I$4=Lookups!D$110,Setup!I$4=Lookups!D$111),Projections!BJ22&gt;N$14),VLOOKUP(Setup!I$4,K$17:P$20,5),AND(OR(Setup!I$4=Lookups!D$109,Setup!I$4=Lookups!D$112),Projections!BJ22&gt;M$15),VLOOKUP(Setup!I$4,K$17:P$20,4),AND(OR(Setup!I$4=Lookups!D$110,Setup!I$4=Lookups!D$111),Projections!BJ22&gt;M$14),VLOOKUP(Setup!I$4,K$17:P$20,4),AND(OR(Setup!I$4=Lookups!D$109,Setup!I$4=Lookups!D$112),Projections!BJ22&gt;L$15),VLOOKUP(Setup!I$4,K$17:P$20,3),AND(OR(Setup!I$4=Lookups!D$110,Setup!I$4=Lookups!D$111),Projections!BJ22&gt;L$14),VLOOKUP(Setup!I$4,K$17:P$20,3),AND(OR(Setup!I$4=Lookups!D$109,Setup!I$4=Lookups!D$112),Projections!BJ22&lt;L$15),VLOOKUP(Setup!I$4,K$17:P$20,2),AND(OR(Setup!I$4=Lookups!D$110,Setup!I$4=Lookups!D$111),Projections!BJ22&lt;L$14),VLOOKUP(Setup!I$4,K$17:P$20,2))</f>
        <v>0</v>
      </c>
      <c r="D22" s="1">
        <f>IF(Projections!AW22+Projections!BG22&gt;0,Projections!AW22+Projections!BG22-C22-VLOOKUP(Setup!I$4,K$23:L$26,2)-IF(VLOOKUP(Setup!I$4,K$31:L$34,2)&gt;Projections!AW22+Projections!BG22,IF(OR(Setup!I$4="Head of household",Setup!I$4="Married filing jointly"),2*L$29, L$29),0),0)</f>
        <v>0</v>
      </c>
      <c r="E22" s="1" cm="1">
        <f t="array" ref="E22">IF(D22&gt;0,_xlfn.IFS(Setup!I$4=Lookups!D$109,-_xlfn.IFS(D22&gt;=L$48, N$48+(D22-L$48)*O$48,D22&gt;=L$47, N$47+(D22-L$47)*O$47,D22&gt;=L$46,N$46+(D22-L$46)*O$46,D22&lt;L$46,D22*O$45),Setup!I$4=Lookups!D$110,-_xlfn.IFS(D22&gt;=L$55, N$55+(D22-L$55)*O$55,D22&gt;=L$54, N$54+(D22-L$54)*O$54,D22&gt;=L$53, N$53+(D22-L$53)*O$53,D22&lt;L$53,D22*O$52),Setup!I$4=Lookups!D$111,-_xlfn.IFS(D22&gt;=L$62, N$62+(D22-L$62)*O$62,D22&gt;=L$61, N$61+(D22-L$61)*O$61,D22&gt;=L$60, N$60+(D22-L$60)*O$60,D22&lt;L$60,D22*O$59), Setup!I$4=Lookups!D$112,-_xlfn.IFS(D22&gt;=L$69, N$69+(D22-L$69)*O$69,D22&gt;=L$68, N$68+(D22-L$68)*O$68,D22&gt;=L$67, N$67+(D22-L$67)*O$67,D22&lt;L$67,D22*O$66)),0)</f>
        <v>0</v>
      </c>
      <c r="F22" s="18">
        <f t="shared" si="1"/>
        <v>0</v>
      </c>
      <c r="G22" s="1">
        <f t="shared" si="2"/>
        <v>0</v>
      </c>
      <c r="H22" s="1"/>
      <c r="I22" s="1"/>
      <c r="J22" s="105"/>
      <c r="K22" s="85" t="s">
        <v>279</v>
      </c>
      <c r="L22" s="86"/>
      <c r="M22" s="87"/>
      <c r="N22" s="88"/>
      <c r="O22" s="88"/>
      <c r="P22" s="88"/>
      <c r="Q22" s="88"/>
      <c r="R22" s="48"/>
      <c r="S22" s="48"/>
      <c r="T22" s="48"/>
      <c r="U22" s="48"/>
      <c r="V22" s="130"/>
    </row>
    <row r="23" spans="1:22" x14ac:dyDescent="0.3">
      <c r="A23" s="1">
        <f t="shared" si="0"/>
        <v>0</v>
      </c>
      <c r="C23" s="1" cm="1">
        <f t="array" ref="C23">_xlfn.IFS(Projections!BJ23=0,0,AND(OR(Setup!I$4=Lookups!D$109,Setup!I$4=Lookups!D$112),Projections!BJ23&gt;P$15),0,AND(OR(Setup!I$4=Lookups!D$110,Setup!I$4=Lookups!D$111),Projections!BJ23&gt;P$14),0,AND(OR(Setup!I$4=Lookups!D$109,Setup!I$4=Lookups!D$112),Projections!BJ23&gt;O$15),VLOOKUP(Setup!I$4,K$17:P$20,6),AND(OR(Setup!I$4=Lookups!D$110,Setup!I$4=Lookups!D$111),Projections!BJ23&gt;O$14),VLOOKUP(Setup!I$4,K$17:P$20,6),AND(OR(Setup!I$4=Lookups!D$109,Setup!I$4=Lookups!D$112),Projections!BJ23&gt;N$15),VLOOKUP(Setup!I$4,K$17:P$20,5),AND(OR(Setup!I$4=Lookups!D$110,Setup!I$4=Lookups!D$111),Projections!BJ23&gt;N$14),VLOOKUP(Setup!I$4,K$17:P$20,5),AND(OR(Setup!I$4=Lookups!D$109,Setup!I$4=Lookups!D$112),Projections!BJ23&gt;M$15),VLOOKUP(Setup!I$4,K$17:P$20,4),AND(OR(Setup!I$4=Lookups!D$110,Setup!I$4=Lookups!D$111),Projections!BJ23&gt;M$14),VLOOKUP(Setup!I$4,K$17:P$20,4),AND(OR(Setup!I$4=Lookups!D$109,Setup!I$4=Lookups!D$112),Projections!BJ23&gt;L$15),VLOOKUP(Setup!I$4,K$17:P$20,3),AND(OR(Setup!I$4=Lookups!D$110,Setup!I$4=Lookups!D$111),Projections!BJ23&gt;L$14),VLOOKUP(Setup!I$4,K$17:P$20,3),AND(OR(Setup!I$4=Lookups!D$109,Setup!I$4=Lookups!D$112),Projections!BJ23&lt;L$15),VLOOKUP(Setup!I$4,K$17:P$20,2),AND(OR(Setup!I$4=Lookups!D$110,Setup!I$4=Lookups!D$111),Projections!BJ23&lt;L$14),VLOOKUP(Setup!I$4,K$17:P$20,2))</f>
        <v>0</v>
      </c>
      <c r="D23" s="1">
        <f>IF(Projections!AW23+Projections!BG23&gt;0,Projections!AW23+Projections!BG23-C23-VLOOKUP(Setup!I$4,K$23:L$26,2)-IF(VLOOKUP(Setup!I$4,K$31:L$34,2)&gt;Projections!AW23+Projections!BG23,IF(OR(Setup!I$4="Head of household",Setup!I$4="Married filing jointly"),2*L$29, L$29),0),0)</f>
        <v>0</v>
      </c>
      <c r="E23" s="1" cm="1">
        <f t="array" ref="E23">IF(D23&gt;0,_xlfn.IFS(Setup!I$4=Lookups!D$109,-_xlfn.IFS(D23&gt;=L$48, N$48+(D23-L$48)*O$48,D23&gt;=L$47, N$47+(D23-L$47)*O$47,D23&gt;=L$46,N$46+(D23-L$46)*O$46,D23&lt;L$46,D23*O$45),Setup!I$4=Lookups!D$110,-_xlfn.IFS(D23&gt;=L$55, N$55+(D23-L$55)*O$55,D23&gt;=L$54, N$54+(D23-L$54)*O$54,D23&gt;=L$53, N$53+(D23-L$53)*O$53,D23&lt;L$53,D23*O$52),Setup!I$4=Lookups!D$111,-_xlfn.IFS(D23&gt;=L$62, N$62+(D23-L$62)*O$62,D23&gt;=L$61, N$61+(D23-L$61)*O$61,D23&gt;=L$60, N$60+(D23-L$60)*O$60,D23&lt;L$60,D23*O$59), Setup!I$4=Lookups!D$112,-_xlfn.IFS(D23&gt;=L$69, N$69+(D23-L$69)*O$69,D23&gt;=L$68, N$68+(D23-L$68)*O$68,D23&gt;=L$67, N$67+(D23-L$67)*O$67,D23&lt;L$67,D23*O$66)),0)</f>
        <v>0</v>
      </c>
      <c r="F23" s="18">
        <f t="shared" si="1"/>
        <v>0</v>
      </c>
      <c r="G23" s="1">
        <f t="shared" si="2"/>
        <v>0</v>
      </c>
      <c r="H23" s="1"/>
      <c r="I23" s="1"/>
      <c r="J23" s="105"/>
      <c r="K23" s="57" t="str">
        <f>Lookups!D$111</f>
        <v>Head of household</v>
      </c>
      <c r="L23" s="309">
        <v>3780</v>
      </c>
      <c r="M23" s="87"/>
      <c r="N23" s="88"/>
      <c r="O23" s="88"/>
      <c r="P23" s="88"/>
      <c r="Q23" s="88"/>
      <c r="R23" s="48"/>
      <c r="S23" s="48"/>
      <c r="T23" s="48"/>
      <c r="U23" s="48"/>
      <c r="V23" s="130"/>
    </row>
    <row r="24" spans="1:22" x14ac:dyDescent="0.3">
      <c r="A24" s="1">
        <f t="shared" si="0"/>
        <v>0</v>
      </c>
      <c r="C24" s="1" cm="1">
        <f t="array" ref="C24">_xlfn.IFS(Projections!BJ24=0,0,AND(OR(Setup!I$4=Lookups!D$109,Setup!I$4=Lookups!D$112),Projections!BJ24&gt;P$15),0,AND(OR(Setup!I$4=Lookups!D$110,Setup!I$4=Lookups!D$111),Projections!BJ24&gt;P$14),0,AND(OR(Setup!I$4=Lookups!D$109,Setup!I$4=Lookups!D$112),Projections!BJ24&gt;O$15),VLOOKUP(Setup!I$4,K$17:P$20,6),AND(OR(Setup!I$4=Lookups!D$110,Setup!I$4=Lookups!D$111),Projections!BJ24&gt;O$14),VLOOKUP(Setup!I$4,K$17:P$20,6),AND(OR(Setup!I$4=Lookups!D$109,Setup!I$4=Lookups!D$112),Projections!BJ24&gt;N$15),VLOOKUP(Setup!I$4,K$17:P$20,5),AND(OR(Setup!I$4=Lookups!D$110,Setup!I$4=Lookups!D$111),Projections!BJ24&gt;N$14),VLOOKUP(Setup!I$4,K$17:P$20,5),AND(OR(Setup!I$4=Lookups!D$109,Setup!I$4=Lookups!D$112),Projections!BJ24&gt;M$15),VLOOKUP(Setup!I$4,K$17:P$20,4),AND(OR(Setup!I$4=Lookups!D$110,Setup!I$4=Lookups!D$111),Projections!BJ24&gt;M$14),VLOOKUP(Setup!I$4,K$17:P$20,4),AND(OR(Setup!I$4=Lookups!D$109,Setup!I$4=Lookups!D$112),Projections!BJ24&gt;L$15),VLOOKUP(Setup!I$4,K$17:P$20,3),AND(OR(Setup!I$4=Lookups!D$110,Setup!I$4=Lookups!D$111),Projections!BJ24&gt;L$14),VLOOKUP(Setup!I$4,K$17:P$20,3),AND(OR(Setup!I$4=Lookups!D$109,Setup!I$4=Lookups!D$112),Projections!BJ24&lt;L$15),VLOOKUP(Setup!I$4,K$17:P$20,2),AND(OR(Setup!I$4=Lookups!D$110,Setup!I$4=Lookups!D$111),Projections!BJ24&lt;L$14),VLOOKUP(Setup!I$4,K$17:P$20,2))</f>
        <v>0</v>
      </c>
      <c r="D24" s="1">
        <f>IF(Projections!AW24+Projections!BG24&gt;0,Projections!AW24+Projections!BG24-C24-VLOOKUP(Setup!I$4,K$23:L$26,2)-IF(VLOOKUP(Setup!I$4,K$31:L$34,2)&gt;Projections!AW24+Projections!BG24,IF(OR(Setup!I$4="Head of household",Setup!I$4="Married filing jointly"),2*L$29, L$29),0),0)</f>
        <v>0</v>
      </c>
      <c r="E24" s="1" cm="1">
        <f t="array" ref="E24">IF(D24&gt;0,_xlfn.IFS(Setup!I$4=Lookups!D$109,-_xlfn.IFS(D24&gt;=L$48, N$48+(D24-L$48)*O$48,D24&gt;=L$47, N$47+(D24-L$47)*O$47,D24&gt;=L$46,N$46+(D24-L$46)*O$46,D24&lt;L$46,D24*O$45),Setup!I$4=Lookups!D$110,-_xlfn.IFS(D24&gt;=L$55, N$55+(D24-L$55)*O$55,D24&gt;=L$54, N$54+(D24-L$54)*O$54,D24&gt;=L$53, N$53+(D24-L$53)*O$53,D24&lt;L$53,D24*O$52),Setup!I$4=Lookups!D$111,-_xlfn.IFS(D24&gt;=L$62, N$62+(D24-L$62)*O$62,D24&gt;=L$61, N$61+(D24-L$61)*O$61,D24&gt;=L$60, N$60+(D24-L$60)*O$60,D24&lt;L$60,D24*O$59), Setup!I$4=Lookups!D$112,-_xlfn.IFS(D24&gt;=L$69, N$69+(D24-L$69)*O$69,D24&gt;=L$68, N$68+(D24-L$68)*O$68,D24&gt;=L$67, N$67+(D24-L$67)*O$67,D24&lt;L$67,D24*O$66)),0)</f>
        <v>0</v>
      </c>
      <c r="F24" s="18">
        <f t="shared" si="1"/>
        <v>0</v>
      </c>
      <c r="G24" s="1">
        <f t="shared" si="2"/>
        <v>0</v>
      </c>
      <c r="H24" s="1"/>
      <c r="I24" s="1"/>
      <c r="J24" s="105"/>
      <c r="K24" s="57" t="str">
        <f>Lookups!D$110</f>
        <v>Married filing jointly</v>
      </c>
      <c r="L24" s="309">
        <v>4700</v>
      </c>
      <c r="M24" s="87"/>
      <c r="N24" s="88"/>
      <c r="O24" s="88"/>
      <c r="P24" s="88"/>
      <c r="Q24" s="88"/>
      <c r="R24" s="48"/>
      <c r="S24" s="48"/>
      <c r="T24" s="48"/>
      <c r="U24" s="48"/>
      <c r="V24" s="130"/>
    </row>
    <row r="25" spans="1:22" x14ac:dyDescent="0.3">
      <c r="A25" s="1">
        <f t="shared" si="0"/>
        <v>0</v>
      </c>
      <c r="C25" s="1" cm="1">
        <f t="array" ref="C25">_xlfn.IFS(Projections!BJ25=0,0,AND(OR(Setup!I$4=Lookups!D$109,Setup!I$4=Lookups!D$112),Projections!BJ25&gt;P$15),0,AND(OR(Setup!I$4=Lookups!D$110,Setup!I$4=Lookups!D$111),Projections!BJ25&gt;P$14),0,AND(OR(Setup!I$4=Lookups!D$109,Setup!I$4=Lookups!D$112),Projections!BJ25&gt;O$15),VLOOKUP(Setup!I$4,K$17:P$20,6),AND(OR(Setup!I$4=Lookups!D$110,Setup!I$4=Lookups!D$111),Projections!BJ25&gt;O$14),VLOOKUP(Setup!I$4,K$17:P$20,6),AND(OR(Setup!I$4=Lookups!D$109,Setup!I$4=Lookups!D$112),Projections!BJ25&gt;N$15),VLOOKUP(Setup!I$4,K$17:P$20,5),AND(OR(Setup!I$4=Lookups!D$110,Setup!I$4=Lookups!D$111),Projections!BJ25&gt;N$14),VLOOKUP(Setup!I$4,K$17:P$20,5),AND(OR(Setup!I$4=Lookups!D$109,Setup!I$4=Lookups!D$112),Projections!BJ25&gt;M$15),VLOOKUP(Setup!I$4,K$17:P$20,4),AND(OR(Setup!I$4=Lookups!D$110,Setup!I$4=Lookups!D$111),Projections!BJ25&gt;M$14),VLOOKUP(Setup!I$4,K$17:P$20,4),AND(OR(Setup!I$4=Lookups!D$109,Setup!I$4=Lookups!D$112),Projections!BJ25&gt;L$15),VLOOKUP(Setup!I$4,K$17:P$20,3),AND(OR(Setup!I$4=Lookups!D$110,Setup!I$4=Lookups!D$111),Projections!BJ25&gt;L$14),VLOOKUP(Setup!I$4,K$17:P$20,3),AND(OR(Setup!I$4=Lookups!D$109,Setup!I$4=Lookups!D$112),Projections!BJ25&lt;L$15),VLOOKUP(Setup!I$4,K$17:P$20,2),AND(OR(Setup!I$4=Lookups!D$110,Setup!I$4=Lookups!D$111),Projections!BJ25&lt;L$14),VLOOKUP(Setup!I$4,K$17:P$20,2))</f>
        <v>0</v>
      </c>
      <c r="D25" s="1">
        <f>IF(Projections!AW25+Projections!BG25&gt;0,Projections!AW25+Projections!BG25-C25-VLOOKUP(Setup!I$4,K$23:L$26,2)-IF(VLOOKUP(Setup!I$4,K$31:L$34,2)&gt;Projections!AW25+Projections!BG25,IF(OR(Setup!I$4="Head of household",Setup!I$4="Married filing jointly"),2*L$29, L$29),0),0)</f>
        <v>0</v>
      </c>
      <c r="E25" s="1" cm="1">
        <f t="array" ref="E25">IF(D25&gt;0,_xlfn.IFS(Setup!I$4=Lookups!D$109,-_xlfn.IFS(D25&gt;=L$48, N$48+(D25-L$48)*O$48,D25&gt;=L$47, N$47+(D25-L$47)*O$47,D25&gt;=L$46,N$46+(D25-L$46)*O$46,D25&lt;L$46,D25*O$45),Setup!I$4=Lookups!D$110,-_xlfn.IFS(D25&gt;=L$55, N$55+(D25-L$55)*O$55,D25&gt;=L$54, N$54+(D25-L$54)*O$54,D25&gt;=L$53, N$53+(D25-L$53)*O$53,D25&lt;L$53,D25*O$52),Setup!I$4=Lookups!D$111,-_xlfn.IFS(D25&gt;=L$62, N$62+(D25-L$62)*O$62,D25&gt;=L$61, N$61+(D25-L$61)*O$61,D25&gt;=L$60, N$60+(D25-L$60)*O$60,D25&lt;L$60,D25*O$59), Setup!I$4=Lookups!D$112,-_xlfn.IFS(D25&gt;=L$69, N$69+(D25-L$69)*O$69,D25&gt;=L$68, N$68+(D25-L$68)*O$68,D25&gt;=L$67, N$67+(D25-L$67)*O$67,D25&lt;L$67,D25*O$66)),0)</f>
        <v>0</v>
      </c>
      <c r="F25" s="18">
        <f t="shared" si="1"/>
        <v>0</v>
      </c>
      <c r="G25" s="1">
        <f t="shared" si="2"/>
        <v>0</v>
      </c>
      <c r="H25" s="1"/>
      <c r="I25" s="1"/>
      <c r="J25" s="105"/>
      <c r="K25" s="57" t="str">
        <f>Lookups!D$112</f>
        <v>Married filing separately</v>
      </c>
      <c r="L25" s="309">
        <v>2350</v>
      </c>
      <c r="M25" s="87"/>
      <c r="N25" s="88"/>
      <c r="O25" s="88"/>
      <c r="P25" s="88"/>
      <c r="Q25" s="88"/>
      <c r="S25" s="132"/>
      <c r="T25" s="48"/>
      <c r="U25" s="48"/>
      <c r="V25" s="130"/>
    </row>
    <row r="26" spans="1:22" x14ac:dyDescent="0.3">
      <c r="A26" s="1">
        <f t="shared" si="0"/>
        <v>0</v>
      </c>
      <c r="C26" s="1" cm="1">
        <f t="array" ref="C26">_xlfn.IFS(Projections!BJ26=0,0,AND(OR(Setup!I$4=Lookups!D$109,Setup!I$4=Lookups!D$112),Projections!BJ26&gt;P$15),0,AND(OR(Setup!I$4=Lookups!D$110,Setup!I$4=Lookups!D$111),Projections!BJ26&gt;P$14),0,AND(OR(Setup!I$4=Lookups!D$109,Setup!I$4=Lookups!D$112),Projections!BJ26&gt;O$15),VLOOKUP(Setup!I$4,K$17:P$20,6),AND(OR(Setup!I$4=Lookups!D$110,Setup!I$4=Lookups!D$111),Projections!BJ26&gt;O$14),VLOOKUP(Setup!I$4,K$17:P$20,6),AND(OR(Setup!I$4=Lookups!D$109,Setup!I$4=Lookups!D$112),Projections!BJ26&gt;N$15),VLOOKUP(Setup!I$4,K$17:P$20,5),AND(OR(Setup!I$4=Lookups!D$110,Setup!I$4=Lookups!D$111),Projections!BJ26&gt;N$14),VLOOKUP(Setup!I$4,K$17:P$20,5),AND(OR(Setup!I$4=Lookups!D$109,Setup!I$4=Lookups!D$112),Projections!BJ26&gt;M$15),VLOOKUP(Setup!I$4,K$17:P$20,4),AND(OR(Setup!I$4=Lookups!D$110,Setup!I$4=Lookups!D$111),Projections!BJ26&gt;M$14),VLOOKUP(Setup!I$4,K$17:P$20,4),AND(OR(Setup!I$4=Lookups!D$109,Setup!I$4=Lookups!D$112),Projections!BJ26&gt;L$15),VLOOKUP(Setup!I$4,K$17:P$20,3),AND(OR(Setup!I$4=Lookups!D$110,Setup!I$4=Lookups!D$111),Projections!BJ26&gt;L$14),VLOOKUP(Setup!I$4,K$17:P$20,3),AND(OR(Setup!I$4=Lookups!D$109,Setup!I$4=Lookups!D$112),Projections!BJ26&lt;L$15),VLOOKUP(Setup!I$4,K$17:P$20,2),AND(OR(Setup!I$4=Lookups!D$110,Setup!I$4=Lookups!D$111),Projections!BJ26&lt;L$14),VLOOKUP(Setup!I$4,K$17:P$20,2))</f>
        <v>0</v>
      </c>
      <c r="D26" s="1">
        <f>IF(Projections!AW26+Projections!BG26&gt;0,Projections!AW26+Projections!BG26-C26-VLOOKUP(Setup!I$4,K$23:L$26,2)-IF(VLOOKUP(Setup!I$4,K$31:L$34,2)&gt;Projections!AW26+Projections!BG26,IF(OR(Setup!I$4="Head of household",Setup!I$4="Married filing jointly"),2*L$29, L$29),0),0)</f>
        <v>0</v>
      </c>
      <c r="E26" s="1" cm="1">
        <f t="array" ref="E26">IF(D26&gt;0,_xlfn.IFS(Setup!I$4=Lookups!D$109,-_xlfn.IFS(D26&gt;=L$48, N$48+(D26-L$48)*O$48,D26&gt;=L$47, N$47+(D26-L$47)*O$47,D26&gt;=L$46,N$46+(D26-L$46)*O$46,D26&lt;L$46,D26*O$45),Setup!I$4=Lookups!D$110,-_xlfn.IFS(D26&gt;=L$55, N$55+(D26-L$55)*O$55,D26&gt;=L$54, N$54+(D26-L$54)*O$54,D26&gt;=L$53, N$53+(D26-L$53)*O$53,D26&lt;L$53,D26*O$52),Setup!I$4=Lookups!D$111,-_xlfn.IFS(D26&gt;=L$62, N$62+(D26-L$62)*O$62,D26&gt;=L$61, N$61+(D26-L$61)*O$61,D26&gt;=L$60, N$60+(D26-L$60)*O$60,D26&lt;L$60,D26*O$59), Setup!I$4=Lookups!D$112,-_xlfn.IFS(D26&gt;=L$69, N$69+(D26-L$69)*O$69,D26&gt;=L$68, N$68+(D26-L$68)*O$68,D26&gt;=L$67, N$67+(D26-L$67)*O$67,D26&lt;L$67,D26*O$66)),0)</f>
        <v>0</v>
      </c>
      <c r="F26" s="18">
        <f t="shared" si="1"/>
        <v>0</v>
      </c>
      <c r="G26" s="1">
        <f t="shared" si="2"/>
        <v>0</v>
      </c>
      <c r="H26" s="1"/>
      <c r="I26" s="1"/>
      <c r="J26" s="105"/>
      <c r="K26" s="57" t="str">
        <f>Lookups!D$109</f>
        <v>Single</v>
      </c>
      <c r="L26" s="309">
        <v>2350</v>
      </c>
      <c r="M26" s="87"/>
      <c r="N26" s="88"/>
      <c r="O26" s="88"/>
      <c r="P26" s="88"/>
      <c r="Q26" s="88"/>
      <c r="R26" s="90"/>
      <c r="S26" s="132"/>
      <c r="T26" s="48"/>
      <c r="U26" s="48"/>
      <c r="V26" s="130"/>
    </row>
    <row r="27" spans="1:22" x14ac:dyDescent="0.3">
      <c r="A27" s="1">
        <f t="shared" si="0"/>
        <v>0</v>
      </c>
      <c r="C27" s="1" cm="1">
        <f t="array" ref="C27">_xlfn.IFS(Projections!BJ27=0,0,AND(OR(Setup!I$4=Lookups!D$109,Setup!I$4=Lookups!D$112),Projections!BJ27&gt;P$15),0,AND(OR(Setup!I$4=Lookups!D$110,Setup!I$4=Lookups!D$111),Projections!BJ27&gt;P$14),0,AND(OR(Setup!I$4=Lookups!D$109,Setup!I$4=Lookups!D$112),Projections!BJ27&gt;O$15),VLOOKUP(Setup!I$4,K$17:P$20,6),AND(OR(Setup!I$4=Lookups!D$110,Setup!I$4=Lookups!D$111),Projections!BJ27&gt;O$14),VLOOKUP(Setup!I$4,K$17:P$20,6),AND(OR(Setup!I$4=Lookups!D$109,Setup!I$4=Lookups!D$112),Projections!BJ27&gt;N$15),VLOOKUP(Setup!I$4,K$17:P$20,5),AND(OR(Setup!I$4=Lookups!D$110,Setup!I$4=Lookups!D$111),Projections!BJ27&gt;N$14),VLOOKUP(Setup!I$4,K$17:P$20,5),AND(OR(Setup!I$4=Lookups!D$109,Setup!I$4=Lookups!D$112),Projections!BJ27&gt;M$15),VLOOKUP(Setup!I$4,K$17:P$20,4),AND(OR(Setup!I$4=Lookups!D$110,Setup!I$4=Lookups!D$111),Projections!BJ27&gt;M$14),VLOOKUP(Setup!I$4,K$17:P$20,4),AND(OR(Setup!I$4=Lookups!D$109,Setup!I$4=Lookups!D$112),Projections!BJ27&gt;L$15),VLOOKUP(Setup!I$4,K$17:P$20,3),AND(OR(Setup!I$4=Lookups!D$110,Setup!I$4=Lookups!D$111),Projections!BJ27&gt;L$14),VLOOKUP(Setup!I$4,K$17:P$20,3),AND(OR(Setup!I$4=Lookups!D$109,Setup!I$4=Lookups!D$112),Projections!BJ27&lt;L$15),VLOOKUP(Setup!I$4,K$17:P$20,2),AND(OR(Setup!I$4=Lookups!D$110,Setup!I$4=Lookups!D$111),Projections!BJ27&lt;L$14),VLOOKUP(Setup!I$4,K$17:P$20,2))</f>
        <v>0</v>
      </c>
      <c r="D27" s="1">
        <f>IF(Projections!AW27+Projections!BG27&gt;0,Projections!AW27+Projections!BG27-C27-VLOOKUP(Setup!I$4,K$23:L$26,2)-IF(VLOOKUP(Setup!I$4,K$31:L$34,2)&gt;Projections!AW27+Projections!BG27,IF(OR(Setup!I$4="Head of household",Setup!I$4="Married filing jointly"),2*L$29, L$29),0),0)</f>
        <v>0</v>
      </c>
      <c r="E27" s="1" cm="1">
        <f t="array" ref="E27">IF(D27&gt;0,_xlfn.IFS(Setup!I$4=Lookups!D$109,-_xlfn.IFS(D27&gt;=L$48, N$48+(D27-L$48)*O$48,D27&gt;=L$47, N$47+(D27-L$47)*O$47,D27&gt;=L$46,N$46+(D27-L$46)*O$46,D27&lt;L$46,D27*O$45),Setup!I$4=Lookups!D$110,-_xlfn.IFS(D27&gt;=L$55, N$55+(D27-L$55)*O$55,D27&gt;=L$54, N$54+(D27-L$54)*O$54,D27&gt;=L$53, N$53+(D27-L$53)*O$53,D27&lt;L$53,D27*O$52),Setup!I$4=Lookups!D$111,-_xlfn.IFS(D27&gt;=L$62, N$62+(D27-L$62)*O$62,D27&gt;=L$61, N$61+(D27-L$61)*O$61,D27&gt;=L$60, N$60+(D27-L$60)*O$60,D27&lt;L$60,D27*O$59), Setup!I$4=Lookups!D$112,-_xlfn.IFS(D27&gt;=L$69, N$69+(D27-L$69)*O$69,D27&gt;=L$68, N$68+(D27-L$68)*O$68,D27&gt;=L$67, N$67+(D27-L$67)*O$67,D27&lt;L$67,D27*O$66)),0)</f>
        <v>0</v>
      </c>
      <c r="F27" s="18">
        <f t="shared" si="1"/>
        <v>0</v>
      </c>
      <c r="G27" s="1">
        <f t="shared" si="2"/>
        <v>0</v>
      </c>
      <c r="H27" s="1"/>
      <c r="I27" s="1"/>
      <c r="J27" s="106"/>
      <c r="K27" s="85"/>
      <c r="L27" s="86"/>
      <c r="M27" s="87"/>
      <c r="N27" s="88"/>
      <c r="O27" s="88"/>
      <c r="P27" s="88"/>
      <c r="Q27" s="88"/>
      <c r="R27" s="90"/>
      <c r="S27" s="132"/>
      <c r="T27" s="48"/>
      <c r="U27" s="48"/>
      <c r="V27" s="130"/>
    </row>
    <row r="28" spans="1:22" x14ac:dyDescent="0.3">
      <c r="A28" s="1">
        <f t="shared" si="0"/>
        <v>0</v>
      </c>
      <c r="C28" s="1" cm="1">
        <f t="array" ref="C28">_xlfn.IFS(Projections!BJ28=0,0,AND(OR(Setup!I$4=Lookups!D$109,Setup!I$4=Lookups!D$112),Projections!BJ28&gt;P$15),0,AND(OR(Setup!I$4=Lookups!D$110,Setup!I$4=Lookups!D$111),Projections!BJ28&gt;P$14),0,AND(OR(Setup!I$4=Lookups!D$109,Setup!I$4=Lookups!D$112),Projections!BJ28&gt;O$15),VLOOKUP(Setup!I$4,K$17:P$20,6),AND(OR(Setup!I$4=Lookups!D$110,Setup!I$4=Lookups!D$111),Projections!BJ28&gt;O$14),VLOOKUP(Setup!I$4,K$17:P$20,6),AND(OR(Setup!I$4=Lookups!D$109,Setup!I$4=Lookups!D$112),Projections!BJ28&gt;N$15),VLOOKUP(Setup!I$4,K$17:P$20,5),AND(OR(Setup!I$4=Lookups!D$110,Setup!I$4=Lookups!D$111),Projections!BJ28&gt;N$14),VLOOKUP(Setup!I$4,K$17:P$20,5),AND(OR(Setup!I$4=Lookups!D$109,Setup!I$4=Lookups!D$112),Projections!BJ28&gt;M$15),VLOOKUP(Setup!I$4,K$17:P$20,4),AND(OR(Setup!I$4=Lookups!D$110,Setup!I$4=Lookups!D$111),Projections!BJ28&gt;M$14),VLOOKUP(Setup!I$4,K$17:P$20,4),AND(OR(Setup!I$4=Lookups!D$109,Setup!I$4=Lookups!D$112),Projections!BJ28&gt;L$15),VLOOKUP(Setup!I$4,K$17:P$20,3),AND(OR(Setup!I$4=Lookups!D$110,Setup!I$4=Lookups!D$111),Projections!BJ28&gt;L$14),VLOOKUP(Setup!I$4,K$17:P$20,3),AND(OR(Setup!I$4=Lookups!D$109,Setup!I$4=Lookups!D$112),Projections!BJ28&lt;L$15),VLOOKUP(Setup!I$4,K$17:P$20,2),AND(OR(Setup!I$4=Lookups!D$110,Setup!I$4=Lookups!D$111),Projections!BJ28&lt;L$14),VLOOKUP(Setup!I$4,K$17:P$20,2))</f>
        <v>0</v>
      </c>
      <c r="D28" s="1">
        <f>IF(Projections!AW28+Projections!BG28&gt;0,Projections!AW28+Projections!BG28-C28-VLOOKUP(Setup!I$4,K$23:L$26,2)-IF(VLOOKUP(Setup!I$4,K$31:L$34,2)&gt;Projections!AW28+Projections!BG28,IF(OR(Setup!I$4="Head of household",Setup!I$4="Married filing jointly"),2*L$29, L$29),0),0)</f>
        <v>0</v>
      </c>
      <c r="E28" s="1" cm="1">
        <f t="array" ref="E28">IF(D28&gt;0,_xlfn.IFS(Setup!I$4=Lookups!D$109,-_xlfn.IFS(D28&gt;=L$48, N$48+(D28-L$48)*O$48,D28&gt;=L$47, N$47+(D28-L$47)*O$47,D28&gt;=L$46,N$46+(D28-L$46)*O$46,D28&lt;L$46,D28*O$45),Setup!I$4=Lookups!D$110,-_xlfn.IFS(D28&gt;=L$55, N$55+(D28-L$55)*O$55,D28&gt;=L$54, N$54+(D28-L$54)*O$54,D28&gt;=L$53, N$53+(D28-L$53)*O$53,D28&lt;L$53,D28*O$52),Setup!I$4=Lookups!D$111,-_xlfn.IFS(D28&gt;=L$62, N$62+(D28-L$62)*O$62,D28&gt;=L$61, N$61+(D28-L$61)*O$61,D28&gt;=L$60, N$60+(D28-L$60)*O$60,D28&lt;L$60,D28*O$59), Setup!I$4=Lookups!D$112,-_xlfn.IFS(D28&gt;=L$69, N$69+(D28-L$69)*O$69,D28&gt;=L$68, N$68+(D28-L$68)*O$68,D28&gt;=L$67, N$67+(D28-L$67)*O$67,D28&lt;L$67,D28*O$66)),0)</f>
        <v>0</v>
      </c>
      <c r="F28" s="18">
        <f t="shared" si="1"/>
        <v>0</v>
      </c>
      <c r="G28" s="1">
        <f t="shared" si="2"/>
        <v>0</v>
      </c>
      <c r="H28" s="1"/>
      <c r="I28" s="1"/>
      <c r="J28" s="84"/>
      <c r="K28" t="s">
        <v>280</v>
      </c>
      <c r="V28" s="67"/>
    </row>
    <row r="29" spans="1:22" x14ac:dyDescent="0.3">
      <c r="A29" s="1">
        <f t="shared" si="0"/>
        <v>0</v>
      </c>
      <c r="C29" s="1" cm="1">
        <f t="array" ref="C29">_xlfn.IFS(Projections!BJ29=0,0,AND(OR(Setup!I$4=Lookups!D$109,Setup!I$4=Lookups!D$112),Projections!BJ29&gt;P$15),0,AND(OR(Setup!I$4=Lookups!D$110,Setup!I$4=Lookups!D$111),Projections!BJ29&gt;P$14),0,AND(OR(Setup!I$4=Lookups!D$109,Setup!I$4=Lookups!D$112),Projections!BJ29&gt;O$15),VLOOKUP(Setup!I$4,K$17:P$20,6),AND(OR(Setup!I$4=Lookups!D$110,Setup!I$4=Lookups!D$111),Projections!BJ29&gt;O$14),VLOOKUP(Setup!I$4,K$17:P$20,6),AND(OR(Setup!I$4=Lookups!D$109,Setup!I$4=Lookups!D$112),Projections!BJ29&gt;N$15),VLOOKUP(Setup!I$4,K$17:P$20,5),AND(OR(Setup!I$4=Lookups!D$110,Setup!I$4=Lookups!D$111),Projections!BJ29&gt;N$14),VLOOKUP(Setup!I$4,K$17:P$20,5),AND(OR(Setup!I$4=Lookups!D$109,Setup!I$4=Lookups!D$112),Projections!BJ29&gt;M$15),VLOOKUP(Setup!I$4,K$17:P$20,4),AND(OR(Setup!I$4=Lookups!D$110,Setup!I$4=Lookups!D$111),Projections!BJ29&gt;M$14),VLOOKUP(Setup!I$4,K$17:P$20,4),AND(OR(Setup!I$4=Lookups!D$109,Setup!I$4=Lookups!D$112),Projections!BJ29&gt;L$15),VLOOKUP(Setup!I$4,K$17:P$20,3),AND(OR(Setup!I$4=Lookups!D$110,Setup!I$4=Lookups!D$111),Projections!BJ29&gt;L$14),VLOOKUP(Setup!I$4,K$17:P$20,3),AND(OR(Setup!I$4=Lookups!D$109,Setup!I$4=Lookups!D$112),Projections!BJ29&lt;L$15),VLOOKUP(Setup!I$4,K$17:P$20,2),AND(OR(Setup!I$4=Lookups!D$110,Setup!I$4=Lookups!D$111),Projections!BJ29&lt;L$14),VLOOKUP(Setup!I$4,K$17:P$20,2))</f>
        <v>0</v>
      </c>
      <c r="D29" s="1">
        <f>IF(Projections!AW29+Projections!BG29&gt;0,Projections!AW29+Projections!BG29-C29-VLOOKUP(Setup!I$4,K$23:L$26,2)-IF(VLOOKUP(Setup!I$4,K$31:L$34,2)&gt;Projections!AW29+Projections!BG29,IF(OR(Setup!I$4="Head of household",Setup!I$4="Married filing jointly"),2*L$29, L$29),0),0)</f>
        <v>0</v>
      </c>
      <c r="E29" s="1" cm="1">
        <f t="array" ref="E29">IF(D29&gt;0,_xlfn.IFS(Setup!I$4=Lookups!D$109,-_xlfn.IFS(D29&gt;=L$48, N$48+(D29-L$48)*O$48,D29&gt;=L$47, N$47+(D29-L$47)*O$47,D29&gt;=L$46,N$46+(D29-L$46)*O$46,D29&lt;L$46,D29*O$45),Setup!I$4=Lookups!D$110,-_xlfn.IFS(D29&gt;=L$55, N$55+(D29-L$55)*O$55,D29&gt;=L$54, N$54+(D29-L$54)*O$54,D29&gt;=L$53, N$53+(D29-L$53)*O$53,D29&lt;L$53,D29*O$52),Setup!I$4=Lookups!D$111,-_xlfn.IFS(D29&gt;=L$62, N$62+(D29-L$62)*O$62,D29&gt;=L$61, N$61+(D29-L$61)*O$61,D29&gt;=L$60, N$60+(D29-L$60)*O$60,D29&lt;L$60,D29*O$59), Setup!I$4=Lookups!D$112,-_xlfn.IFS(D29&gt;=L$69, N$69+(D29-L$69)*O$69,D29&gt;=L$68, N$68+(D29-L$68)*O$68,D29&gt;=L$67, N$67+(D29-L$67)*O$67,D29&lt;L$67,D29*O$66)),0)</f>
        <v>0</v>
      </c>
      <c r="F29" s="18">
        <f t="shared" si="1"/>
        <v>0</v>
      </c>
      <c r="G29" s="1">
        <f t="shared" si="2"/>
        <v>0</v>
      </c>
      <c r="I29" s="1"/>
      <c r="J29" s="106"/>
      <c r="K29" s="136" t="s">
        <v>116</v>
      </c>
      <c r="L29" s="309">
        <v>213</v>
      </c>
      <c r="M29" s="87"/>
      <c r="N29" s="88"/>
      <c r="O29" s="88"/>
      <c r="P29" s="88"/>
      <c r="Q29" s="88"/>
      <c r="R29" s="90"/>
      <c r="S29" s="132"/>
      <c r="T29" s="48"/>
      <c r="U29" s="48"/>
      <c r="V29" s="130"/>
    </row>
    <row r="30" spans="1:22" x14ac:dyDescent="0.3">
      <c r="A30" s="1">
        <f t="shared" si="0"/>
        <v>0</v>
      </c>
      <c r="C30" s="1" cm="1">
        <f t="array" ref="C30">_xlfn.IFS(Projections!BJ30=0,0,AND(OR(Setup!I$4=Lookups!D$109,Setup!I$4=Lookups!D$112),Projections!BJ30&gt;P$15),0,AND(OR(Setup!I$4=Lookups!D$110,Setup!I$4=Lookups!D$111),Projections!BJ30&gt;P$14),0,AND(OR(Setup!I$4=Lookups!D$109,Setup!I$4=Lookups!D$112),Projections!BJ30&gt;O$15),VLOOKUP(Setup!I$4,K$17:P$20,6),AND(OR(Setup!I$4=Lookups!D$110,Setup!I$4=Lookups!D$111),Projections!BJ30&gt;O$14),VLOOKUP(Setup!I$4,K$17:P$20,6),AND(OR(Setup!I$4=Lookups!D$109,Setup!I$4=Lookups!D$112),Projections!BJ30&gt;N$15),VLOOKUP(Setup!I$4,K$17:P$20,5),AND(OR(Setup!I$4=Lookups!D$110,Setup!I$4=Lookups!D$111),Projections!BJ30&gt;N$14),VLOOKUP(Setup!I$4,K$17:P$20,5),AND(OR(Setup!I$4=Lookups!D$109,Setup!I$4=Lookups!D$112),Projections!BJ30&gt;M$15),VLOOKUP(Setup!I$4,K$17:P$20,4),AND(OR(Setup!I$4=Lookups!D$110,Setup!I$4=Lookups!D$111),Projections!BJ30&gt;M$14),VLOOKUP(Setup!I$4,K$17:P$20,4),AND(OR(Setup!I$4=Lookups!D$109,Setup!I$4=Lookups!D$112),Projections!BJ30&gt;L$15),VLOOKUP(Setup!I$4,K$17:P$20,3),AND(OR(Setup!I$4=Lookups!D$110,Setup!I$4=Lookups!D$111),Projections!BJ30&gt;L$14),VLOOKUP(Setup!I$4,K$17:P$20,3),AND(OR(Setup!I$4=Lookups!D$109,Setup!I$4=Lookups!D$112),Projections!BJ30&lt;L$15),VLOOKUP(Setup!I$4,K$17:P$20,2),AND(OR(Setup!I$4=Lookups!D$110,Setup!I$4=Lookups!D$111),Projections!BJ30&lt;L$14),VLOOKUP(Setup!I$4,K$17:P$20,2))</f>
        <v>0</v>
      </c>
      <c r="D30" s="1">
        <f>IF(Projections!AW30+Projections!BG30&gt;0,Projections!AW30+Projections!BG30-C30-VLOOKUP(Setup!I$4,K$23:L$26,2)-IF(VLOOKUP(Setup!I$4,K$31:L$34,2)&gt;Projections!AW30+Projections!BG30,IF(OR(Setup!I$4="Head of household",Setup!I$4="Married filing jointly"),2*L$29, L$29),0),0)</f>
        <v>0</v>
      </c>
      <c r="E30" s="1" cm="1">
        <f t="array" ref="E30">IF(D30&gt;0,_xlfn.IFS(Setup!I$4=Lookups!D$109,-_xlfn.IFS(D30&gt;=L$48, N$48+(D30-L$48)*O$48,D30&gt;=L$47, N$47+(D30-L$47)*O$47,D30&gt;=L$46,N$46+(D30-L$46)*O$46,D30&lt;L$46,D30*O$45),Setup!I$4=Lookups!D$110,-_xlfn.IFS(D30&gt;=L$55, N$55+(D30-L$55)*O$55,D30&gt;=L$54, N$54+(D30-L$54)*O$54,D30&gt;=L$53, N$53+(D30-L$53)*O$53,D30&lt;L$53,D30*O$52),Setup!I$4=Lookups!D$111,-_xlfn.IFS(D30&gt;=L$62, N$62+(D30-L$62)*O$62,D30&gt;=L$61, N$61+(D30-L$61)*O$61,D30&gt;=L$60, N$60+(D30-L$60)*O$60,D30&lt;L$60,D30*O$59), Setup!I$4=Lookups!D$112,-_xlfn.IFS(D30&gt;=L$69, N$69+(D30-L$69)*O$69,D30&gt;=L$68, N$68+(D30-L$68)*O$68,D30&gt;=L$67, N$67+(D30-L$67)*O$67,D30&lt;L$67,D30*O$66)),0)</f>
        <v>0</v>
      </c>
      <c r="F30" s="18">
        <f t="shared" si="1"/>
        <v>0</v>
      </c>
      <c r="G30" s="1">
        <f t="shared" si="2"/>
        <v>0</v>
      </c>
      <c r="I30" s="1"/>
      <c r="J30" s="84"/>
      <c r="K30" t="s">
        <v>172</v>
      </c>
      <c r="V30" s="67"/>
    </row>
    <row r="31" spans="1:22" x14ac:dyDescent="0.3">
      <c r="A31" s="1">
        <f t="shared" si="0"/>
        <v>0</v>
      </c>
      <c r="C31" s="1" cm="1">
        <f t="array" ref="C31">_xlfn.IFS(Projections!BJ31=0,0,AND(OR(Setup!I$4=Lookups!D$109,Setup!I$4=Lookups!D$112),Projections!BJ31&gt;P$15),0,AND(OR(Setup!I$4=Lookups!D$110,Setup!I$4=Lookups!D$111),Projections!BJ31&gt;P$14),0,AND(OR(Setup!I$4=Lookups!D$109,Setup!I$4=Lookups!D$112),Projections!BJ31&gt;O$15),VLOOKUP(Setup!I$4,K$17:P$20,6),AND(OR(Setup!I$4=Lookups!D$110,Setup!I$4=Lookups!D$111),Projections!BJ31&gt;O$14),VLOOKUP(Setup!I$4,K$17:P$20,6),AND(OR(Setup!I$4=Lookups!D$109,Setup!I$4=Lookups!D$112),Projections!BJ31&gt;N$15),VLOOKUP(Setup!I$4,K$17:P$20,5),AND(OR(Setup!I$4=Lookups!D$110,Setup!I$4=Lookups!D$111),Projections!BJ31&gt;N$14),VLOOKUP(Setup!I$4,K$17:P$20,5),AND(OR(Setup!I$4=Lookups!D$109,Setup!I$4=Lookups!D$112),Projections!BJ31&gt;M$15),VLOOKUP(Setup!I$4,K$17:P$20,4),AND(OR(Setup!I$4=Lookups!D$110,Setup!I$4=Lookups!D$111),Projections!BJ31&gt;M$14),VLOOKUP(Setup!I$4,K$17:P$20,4),AND(OR(Setup!I$4=Lookups!D$109,Setup!I$4=Lookups!D$112),Projections!BJ31&gt;L$15),VLOOKUP(Setup!I$4,K$17:P$20,3),AND(OR(Setup!I$4=Lookups!D$110,Setup!I$4=Lookups!D$111),Projections!BJ31&gt;L$14),VLOOKUP(Setup!I$4,K$17:P$20,3),AND(OR(Setup!I$4=Lookups!D$109,Setup!I$4=Lookups!D$112),Projections!BJ31&lt;L$15),VLOOKUP(Setup!I$4,K$17:P$20,2),AND(OR(Setup!I$4=Lookups!D$110,Setup!I$4=Lookups!D$111),Projections!BJ31&lt;L$14),VLOOKUP(Setup!I$4,K$17:P$20,2))</f>
        <v>0</v>
      </c>
      <c r="D31" s="1">
        <f>IF(Projections!AW31+Projections!BG31&gt;0,Projections!AW31+Projections!BG31-C31-VLOOKUP(Setup!I$4,K$23:L$26,2)-IF(VLOOKUP(Setup!I$4,K$31:L$34,2)&gt;Projections!AW31+Projections!BG31,IF(OR(Setup!I$4="Head of household",Setup!I$4="Married filing jointly"),2*L$29, L$29),0),0)</f>
        <v>0</v>
      </c>
      <c r="E31" s="1" cm="1">
        <f t="array" ref="E31">IF(D31&gt;0,_xlfn.IFS(Setup!I$4=Lookups!D$109,-_xlfn.IFS(D31&gt;=L$48, N$48+(D31-L$48)*O$48,D31&gt;=L$47, N$47+(D31-L$47)*O$47,D31&gt;=L$46,N$46+(D31-L$46)*O$46,D31&lt;L$46,D31*O$45),Setup!I$4=Lookups!D$110,-_xlfn.IFS(D31&gt;=L$55, N$55+(D31-L$55)*O$55,D31&gt;=L$54, N$54+(D31-L$54)*O$54,D31&gt;=L$53, N$53+(D31-L$53)*O$53,D31&lt;L$53,D31*O$52),Setup!I$4=Lookups!D$111,-_xlfn.IFS(D31&gt;=L$62, N$62+(D31-L$62)*O$62,D31&gt;=L$61, N$61+(D31-L$61)*O$61,D31&gt;=L$60, N$60+(D31-L$60)*O$60,D31&lt;L$60,D31*O$59), Setup!I$4=Lookups!D$112,-_xlfn.IFS(D31&gt;=L$69, N$69+(D31-L$69)*O$69,D31&gt;=L$68, N$68+(D31-L$68)*O$68,D31&gt;=L$67, N$67+(D31-L$67)*O$67,D31&lt;L$67,D31*O$66)),0)</f>
        <v>0</v>
      </c>
      <c r="F31" s="18">
        <f t="shared" si="1"/>
        <v>0</v>
      </c>
      <c r="G31" s="1">
        <f t="shared" si="2"/>
        <v>0</v>
      </c>
      <c r="I31" s="1"/>
      <c r="J31" s="84"/>
      <c r="K31" s="57" t="str">
        <f>Lookups!D$111</f>
        <v>Head of household</v>
      </c>
      <c r="L31" s="309">
        <v>200000</v>
      </c>
      <c r="V31" s="67"/>
    </row>
    <row r="32" spans="1:22" x14ac:dyDescent="0.3">
      <c r="A32" s="1">
        <f t="shared" si="0"/>
        <v>0</v>
      </c>
      <c r="C32" s="1" cm="1">
        <f t="array" ref="C32">_xlfn.IFS(Projections!BJ32=0,0,AND(OR(Setup!I$4=Lookups!D$109,Setup!I$4=Lookups!D$112),Projections!BJ32&gt;P$15),0,AND(OR(Setup!I$4=Lookups!D$110,Setup!I$4=Lookups!D$111),Projections!BJ32&gt;P$14),0,AND(OR(Setup!I$4=Lookups!D$109,Setup!I$4=Lookups!D$112),Projections!BJ32&gt;O$15),VLOOKUP(Setup!I$4,K$17:P$20,6),AND(OR(Setup!I$4=Lookups!D$110,Setup!I$4=Lookups!D$111),Projections!BJ32&gt;O$14),VLOOKUP(Setup!I$4,K$17:P$20,6),AND(OR(Setup!I$4=Lookups!D$109,Setup!I$4=Lookups!D$112),Projections!BJ32&gt;N$15),VLOOKUP(Setup!I$4,K$17:P$20,5),AND(OR(Setup!I$4=Lookups!D$110,Setup!I$4=Lookups!D$111),Projections!BJ32&gt;N$14),VLOOKUP(Setup!I$4,K$17:P$20,5),AND(OR(Setup!I$4=Lookups!D$109,Setup!I$4=Lookups!D$112),Projections!BJ32&gt;M$15),VLOOKUP(Setup!I$4,K$17:P$20,4),AND(OR(Setup!I$4=Lookups!D$110,Setup!I$4=Lookups!D$111),Projections!BJ32&gt;M$14),VLOOKUP(Setup!I$4,K$17:P$20,4),AND(OR(Setup!I$4=Lookups!D$109,Setup!I$4=Lookups!D$112),Projections!BJ32&gt;L$15),VLOOKUP(Setup!I$4,K$17:P$20,3),AND(OR(Setup!I$4=Lookups!D$110,Setup!I$4=Lookups!D$111),Projections!BJ32&gt;L$14),VLOOKUP(Setup!I$4,K$17:P$20,3),AND(OR(Setup!I$4=Lookups!D$109,Setup!I$4=Lookups!D$112),Projections!BJ32&lt;L$15),VLOOKUP(Setup!I$4,K$17:P$20,2),AND(OR(Setup!I$4=Lookups!D$110,Setup!I$4=Lookups!D$111),Projections!BJ32&lt;L$14),VLOOKUP(Setup!I$4,K$17:P$20,2))</f>
        <v>0</v>
      </c>
      <c r="D32" s="1">
        <f>IF(Projections!AW32+Projections!BG32&gt;0,Projections!AW32+Projections!BG32-C32-VLOOKUP(Setup!I$4,K$23:L$26,2)-IF(VLOOKUP(Setup!I$4,K$31:L$34,2)&gt;Projections!AW32+Projections!BG32,IF(OR(Setup!I$4="Head of household",Setup!I$4="Married filing jointly"),2*L$29, L$29),0),0)</f>
        <v>0</v>
      </c>
      <c r="E32" s="1" cm="1">
        <f t="array" ref="E32">IF(D32&gt;0,_xlfn.IFS(Setup!I$4=Lookups!D$109,-_xlfn.IFS(D32&gt;=L$48, N$48+(D32-L$48)*O$48,D32&gt;=L$47, N$47+(D32-L$47)*O$47,D32&gt;=L$46,N$46+(D32-L$46)*O$46,D32&lt;L$46,D32*O$45),Setup!I$4=Lookups!D$110,-_xlfn.IFS(D32&gt;=L$55, N$55+(D32-L$55)*O$55,D32&gt;=L$54, N$54+(D32-L$54)*O$54,D32&gt;=L$53, N$53+(D32-L$53)*O$53,D32&lt;L$53,D32*O$52),Setup!I$4=Lookups!D$111,-_xlfn.IFS(D32&gt;=L$62, N$62+(D32-L$62)*O$62,D32&gt;=L$61, N$61+(D32-L$61)*O$61,D32&gt;=L$60, N$60+(D32-L$60)*O$60,D32&lt;L$60,D32*O$59), Setup!I$4=Lookups!D$112,-_xlfn.IFS(D32&gt;=L$69, N$69+(D32-L$69)*O$69,D32&gt;=L$68, N$68+(D32-L$68)*O$68,D32&gt;=L$67, N$67+(D32-L$67)*O$67,D32&lt;L$67,D32*O$66)),0)</f>
        <v>0</v>
      </c>
      <c r="F32" s="18">
        <f t="shared" si="1"/>
        <v>0</v>
      </c>
      <c r="G32" s="1">
        <f t="shared" si="2"/>
        <v>0</v>
      </c>
      <c r="I32" s="1"/>
      <c r="J32" s="84"/>
      <c r="K32" s="57" t="str">
        <f>Lookups!D$110</f>
        <v>Married filing jointly</v>
      </c>
      <c r="L32" s="309">
        <v>200000</v>
      </c>
      <c r="V32" s="67"/>
    </row>
    <row r="33" spans="1:22" x14ac:dyDescent="0.3">
      <c r="A33" s="1">
        <f t="shared" si="0"/>
        <v>0</v>
      </c>
      <c r="C33" s="1" cm="1">
        <f t="array" ref="C33">_xlfn.IFS(Projections!BJ33=0,0,AND(OR(Setup!I$4=Lookups!D$109,Setup!I$4=Lookups!D$112),Projections!BJ33&gt;P$15),0,AND(OR(Setup!I$4=Lookups!D$110,Setup!I$4=Lookups!D$111),Projections!BJ33&gt;P$14),0,AND(OR(Setup!I$4=Lookups!D$109,Setup!I$4=Lookups!D$112),Projections!BJ33&gt;O$15),VLOOKUP(Setup!I$4,K$17:P$20,6),AND(OR(Setup!I$4=Lookups!D$110,Setup!I$4=Lookups!D$111),Projections!BJ33&gt;O$14),VLOOKUP(Setup!I$4,K$17:P$20,6),AND(OR(Setup!I$4=Lookups!D$109,Setup!I$4=Lookups!D$112),Projections!BJ33&gt;N$15),VLOOKUP(Setup!I$4,K$17:P$20,5),AND(OR(Setup!I$4=Lookups!D$110,Setup!I$4=Lookups!D$111),Projections!BJ33&gt;N$14),VLOOKUP(Setup!I$4,K$17:P$20,5),AND(OR(Setup!I$4=Lookups!D$109,Setup!I$4=Lookups!D$112),Projections!BJ33&gt;M$15),VLOOKUP(Setup!I$4,K$17:P$20,4),AND(OR(Setup!I$4=Lookups!D$110,Setup!I$4=Lookups!D$111),Projections!BJ33&gt;M$14),VLOOKUP(Setup!I$4,K$17:P$20,4),AND(OR(Setup!I$4=Lookups!D$109,Setup!I$4=Lookups!D$112),Projections!BJ33&gt;L$15),VLOOKUP(Setup!I$4,K$17:P$20,3),AND(OR(Setup!I$4=Lookups!D$110,Setup!I$4=Lookups!D$111),Projections!BJ33&gt;L$14),VLOOKUP(Setup!I$4,K$17:P$20,3),AND(OR(Setup!I$4=Lookups!D$109,Setup!I$4=Lookups!D$112),Projections!BJ33&lt;L$15),VLOOKUP(Setup!I$4,K$17:P$20,2),AND(OR(Setup!I$4=Lookups!D$110,Setup!I$4=Lookups!D$111),Projections!BJ33&lt;L$14),VLOOKUP(Setup!I$4,K$17:P$20,2))</f>
        <v>0</v>
      </c>
      <c r="D33" s="1">
        <f>IF(Projections!AW33+Projections!BG33&gt;0,Projections!AW33+Projections!BG33-C33-VLOOKUP(Setup!I$4,K$23:L$26,2)-IF(VLOOKUP(Setup!I$4,K$31:L$34,2)&gt;Projections!AW33+Projections!BG33,IF(OR(Setup!I$4="Head of household",Setup!I$4="Married filing jointly"),2*L$29, L$29),0),0)</f>
        <v>0</v>
      </c>
      <c r="E33" s="1" cm="1">
        <f t="array" ref="E33">IF(D33&gt;0,_xlfn.IFS(Setup!I$4=Lookups!D$109,-_xlfn.IFS(D33&gt;=L$48, N$48+(D33-L$48)*O$48,D33&gt;=L$47, N$47+(D33-L$47)*O$47,D33&gt;=L$46,N$46+(D33-L$46)*O$46,D33&lt;L$46,D33*O$45),Setup!I$4=Lookups!D$110,-_xlfn.IFS(D33&gt;=L$55, N$55+(D33-L$55)*O$55,D33&gt;=L$54, N$54+(D33-L$54)*O$54,D33&gt;=L$53, N$53+(D33-L$53)*O$53,D33&lt;L$53,D33*O$52),Setup!I$4=Lookups!D$111,-_xlfn.IFS(D33&gt;=L$62, N$62+(D33-L$62)*O$62,D33&gt;=L$61, N$61+(D33-L$61)*O$61,D33&gt;=L$60, N$60+(D33-L$60)*O$60,D33&lt;L$60,D33*O$59), Setup!I$4=Lookups!D$112,-_xlfn.IFS(D33&gt;=L$69, N$69+(D33-L$69)*O$69,D33&gt;=L$68, N$68+(D33-L$68)*O$68,D33&gt;=L$67, N$67+(D33-L$67)*O$67,D33&lt;L$67,D33*O$66)),0)</f>
        <v>0</v>
      </c>
      <c r="F33" s="18">
        <f t="shared" si="1"/>
        <v>0</v>
      </c>
      <c r="G33" s="1">
        <f t="shared" si="2"/>
        <v>0</v>
      </c>
      <c r="I33" s="1"/>
      <c r="J33" s="84"/>
      <c r="K33" s="57" t="str">
        <f>Lookups!D$112</f>
        <v>Married filing separately</v>
      </c>
      <c r="L33" s="309">
        <v>100000</v>
      </c>
      <c r="T33" s="385"/>
      <c r="V33" s="67"/>
    </row>
    <row r="34" spans="1:22" x14ac:dyDescent="0.3">
      <c r="A34" s="1">
        <f t="shared" si="0"/>
        <v>0</v>
      </c>
      <c r="C34" s="1" cm="1">
        <f t="array" ref="C34">_xlfn.IFS(Projections!BJ34=0,0,AND(OR(Setup!I$4=Lookups!D$109,Setup!I$4=Lookups!D$112),Projections!BJ34&gt;P$15),0,AND(OR(Setup!I$4=Lookups!D$110,Setup!I$4=Lookups!D$111),Projections!BJ34&gt;P$14),0,AND(OR(Setup!I$4=Lookups!D$109,Setup!I$4=Lookups!D$112),Projections!BJ34&gt;O$15),VLOOKUP(Setup!I$4,K$17:P$20,6),AND(OR(Setup!I$4=Lookups!D$110,Setup!I$4=Lookups!D$111),Projections!BJ34&gt;O$14),VLOOKUP(Setup!I$4,K$17:P$20,6),AND(OR(Setup!I$4=Lookups!D$109,Setup!I$4=Lookups!D$112),Projections!BJ34&gt;N$15),VLOOKUP(Setup!I$4,K$17:P$20,5),AND(OR(Setup!I$4=Lookups!D$110,Setup!I$4=Lookups!D$111),Projections!BJ34&gt;N$14),VLOOKUP(Setup!I$4,K$17:P$20,5),AND(OR(Setup!I$4=Lookups!D$109,Setup!I$4=Lookups!D$112),Projections!BJ34&gt;M$15),VLOOKUP(Setup!I$4,K$17:P$20,4),AND(OR(Setup!I$4=Lookups!D$110,Setup!I$4=Lookups!D$111),Projections!BJ34&gt;M$14),VLOOKUP(Setup!I$4,K$17:P$20,4),AND(OR(Setup!I$4=Lookups!D$109,Setup!I$4=Lookups!D$112),Projections!BJ34&gt;L$15),VLOOKUP(Setup!I$4,K$17:P$20,3),AND(OR(Setup!I$4=Lookups!D$110,Setup!I$4=Lookups!D$111),Projections!BJ34&gt;L$14),VLOOKUP(Setup!I$4,K$17:P$20,3),AND(OR(Setup!I$4=Lookups!D$109,Setup!I$4=Lookups!D$112),Projections!BJ34&lt;L$15),VLOOKUP(Setup!I$4,K$17:P$20,2),AND(OR(Setup!I$4=Lookups!D$110,Setup!I$4=Lookups!D$111),Projections!BJ34&lt;L$14),VLOOKUP(Setup!I$4,K$17:P$20,2))</f>
        <v>0</v>
      </c>
      <c r="D34" s="1">
        <f>IF(Projections!AW34+Projections!BG34&gt;0,Projections!AW34+Projections!BG34-C34-VLOOKUP(Setup!I$4,K$23:L$26,2)-IF(VLOOKUP(Setup!I$4,K$31:L$34,2)&gt;Projections!AW34+Projections!BG34,IF(OR(Setup!I$4="Head of household",Setup!I$4="Married filing jointly"),2*L$29, L$29),0),0)</f>
        <v>0</v>
      </c>
      <c r="E34" s="1" cm="1">
        <f t="array" ref="E34">IF(D34&gt;0,_xlfn.IFS(Setup!I$4=Lookups!D$109,-_xlfn.IFS(D34&gt;=L$48, N$48+(D34-L$48)*O$48,D34&gt;=L$47, N$47+(D34-L$47)*O$47,D34&gt;=L$46,N$46+(D34-L$46)*O$46,D34&lt;L$46,D34*O$45),Setup!I$4=Lookups!D$110,-_xlfn.IFS(D34&gt;=L$55, N$55+(D34-L$55)*O$55,D34&gt;=L$54, N$54+(D34-L$54)*O$54,D34&gt;=L$53, N$53+(D34-L$53)*O$53,D34&lt;L$53,D34*O$52),Setup!I$4=Lookups!D$111,-_xlfn.IFS(D34&gt;=L$62, N$62+(D34-L$62)*O$62,D34&gt;=L$61, N$61+(D34-L$61)*O$61,D34&gt;=L$60, N$60+(D34-L$60)*O$60,D34&lt;L$60,D34*O$59), Setup!I$4=Lookups!D$112,-_xlfn.IFS(D34&gt;=L$69, N$69+(D34-L$69)*O$69,D34&gt;=L$68, N$68+(D34-L$68)*O$68,D34&gt;=L$67, N$67+(D34-L$67)*O$67,D34&lt;L$67,D34*O$66)),0)</f>
        <v>0</v>
      </c>
      <c r="F34" s="18">
        <f t="shared" si="1"/>
        <v>0</v>
      </c>
      <c r="G34" s="1">
        <f t="shared" si="2"/>
        <v>0</v>
      </c>
      <c r="I34" s="1"/>
      <c r="J34" s="84"/>
      <c r="K34" s="57" t="str">
        <f>Lookups!D$109</f>
        <v>Single</v>
      </c>
      <c r="L34" s="309">
        <v>100000</v>
      </c>
      <c r="V34" s="67"/>
    </row>
    <row r="35" spans="1:22" x14ac:dyDescent="0.3">
      <c r="A35" s="1">
        <f t="shared" si="0"/>
        <v>0</v>
      </c>
      <c r="C35" s="1" cm="1">
        <f t="array" ref="C35">_xlfn.IFS(Projections!BJ35=0,0,AND(OR(Setup!I$4=Lookups!D$109,Setup!I$4=Lookups!D$112),Projections!BJ35&gt;P$15),0,AND(OR(Setup!I$4=Lookups!D$110,Setup!I$4=Lookups!D$111),Projections!BJ35&gt;P$14),0,AND(OR(Setup!I$4=Lookups!D$109,Setup!I$4=Lookups!D$112),Projections!BJ35&gt;O$15),VLOOKUP(Setup!I$4,K$17:P$20,6),AND(OR(Setup!I$4=Lookups!D$110,Setup!I$4=Lookups!D$111),Projections!BJ35&gt;O$14),VLOOKUP(Setup!I$4,K$17:P$20,6),AND(OR(Setup!I$4=Lookups!D$109,Setup!I$4=Lookups!D$112),Projections!BJ35&gt;N$15),VLOOKUP(Setup!I$4,K$17:P$20,5),AND(OR(Setup!I$4=Lookups!D$110,Setup!I$4=Lookups!D$111),Projections!BJ35&gt;N$14),VLOOKUP(Setup!I$4,K$17:P$20,5),AND(OR(Setup!I$4=Lookups!D$109,Setup!I$4=Lookups!D$112),Projections!BJ35&gt;M$15),VLOOKUP(Setup!I$4,K$17:P$20,4),AND(OR(Setup!I$4=Lookups!D$110,Setup!I$4=Lookups!D$111),Projections!BJ35&gt;M$14),VLOOKUP(Setup!I$4,K$17:P$20,4),AND(OR(Setup!I$4=Lookups!D$109,Setup!I$4=Lookups!D$112),Projections!BJ35&gt;L$15),VLOOKUP(Setup!I$4,K$17:P$20,3),AND(OR(Setup!I$4=Lookups!D$110,Setup!I$4=Lookups!D$111),Projections!BJ35&gt;L$14),VLOOKUP(Setup!I$4,K$17:P$20,3),AND(OR(Setup!I$4=Lookups!D$109,Setup!I$4=Lookups!D$112),Projections!BJ35&lt;L$15),VLOOKUP(Setup!I$4,K$17:P$20,2),AND(OR(Setup!I$4=Lookups!D$110,Setup!I$4=Lookups!D$111),Projections!BJ35&lt;L$14),VLOOKUP(Setup!I$4,K$17:P$20,2))</f>
        <v>0</v>
      </c>
      <c r="D35" s="1">
        <f>IF(Projections!AW35+Projections!BG35&gt;0,Projections!AW35+Projections!BG35-C35-VLOOKUP(Setup!I$4,K$23:L$26,2)-IF(VLOOKUP(Setup!I$4,K$31:L$34,2)&gt;Projections!AW35+Projections!BG35,IF(OR(Setup!I$4="Head of household",Setup!I$4="Married filing jointly"),2*L$29, L$29),0),0)</f>
        <v>0</v>
      </c>
      <c r="E35" s="1" cm="1">
        <f t="array" ref="E35">IF(D35&gt;0,_xlfn.IFS(Setup!I$4=Lookups!D$109,-_xlfn.IFS(D35&gt;=L$48, N$48+(D35-L$48)*O$48,D35&gt;=L$47, N$47+(D35-L$47)*O$47,D35&gt;=L$46,N$46+(D35-L$46)*O$46,D35&lt;L$46,D35*O$45),Setup!I$4=Lookups!D$110,-_xlfn.IFS(D35&gt;=L$55, N$55+(D35-L$55)*O$55,D35&gt;=L$54, N$54+(D35-L$54)*O$54,D35&gt;=L$53, N$53+(D35-L$53)*O$53,D35&lt;L$53,D35*O$52),Setup!I$4=Lookups!D$111,-_xlfn.IFS(D35&gt;=L$62, N$62+(D35-L$62)*O$62,D35&gt;=L$61, N$61+(D35-L$61)*O$61,D35&gt;=L$60, N$60+(D35-L$60)*O$60,D35&lt;L$60,D35*O$59), Setup!I$4=Lookups!D$112,-_xlfn.IFS(D35&gt;=L$69, N$69+(D35-L$69)*O$69,D35&gt;=L$68, N$68+(D35-L$68)*O$68,D35&gt;=L$67, N$67+(D35-L$67)*O$67,D35&lt;L$67,D35*O$66)),0)</f>
        <v>0</v>
      </c>
      <c r="F35" s="18">
        <f t="shared" si="1"/>
        <v>0</v>
      </c>
      <c r="G35" s="1">
        <f t="shared" si="2"/>
        <v>0</v>
      </c>
      <c r="I35" s="1"/>
      <c r="J35" s="106"/>
      <c r="K35" s="85"/>
      <c r="L35" s="86"/>
      <c r="M35" s="87"/>
      <c r="N35" s="88"/>
      <c r="O35" s="88"/>
      <c r="P35" s="88"/>
      <c r="Q35" s="88"/>
      <c r="R35" s="48"/>
      <c r="S35" s="48"/>
      <c r="T35" s="48"/>
      <c r="U35" s="48"/>
      <c r="V35" s="130"/>
    </row>
    <row r="36" spans="1:22" x14ac:dyDescent="0.3">
      <c r="A36" s="1">
        <f t="shared" si="0"/>
        <v>0</v>
      </c>
      <c r="C36" s="1" cm="1">
        <f t="array" ref="C36">_xlfn.IFS(Projections!BJ36=0,0,AND(OR(Setup!I$4=Lookups!D$109,Setup!I$4=Lookups!D$112),Projections!BJ36&gt;P$15),0,AND(OR(Setup!I$4=Lookups!D$110,Setup!I$4=Lookups!D$111),Projections!BJ36&gt;P$14),0,AND(OR(Setup!I$4=Lookups!D$109,Setup!I$4=Lookups!D$112),Projections!BJ36&gt;O$15),VLOOKUP(Setup!I$4,K$17:P$20,6),AND(OR(Setup!I$4=Lookups!D$110,Setup!I$4=Lookups!D$111),Projections!BJ36&gt;O$14),VLOOKUP(Setup!I$4,K$17:P$20,6),AND(OR(Setup!I$4=Lookups!D$109,Setup!I$4=Lookups!D$112),Projections!BJ36&gt;N$15),VLOOKUP(Setup!I$4,K$17:P$20,5),AND(OR(Setup!I$4=Lookups!D$110,Setup!I$4=Lookups!D$111),Projections!BJ36&gt;N$14),VLOOKUP(Setup!I$4,K$17:P$20,5),AND(OR(Setup!I$4=Lookups!D$109,Setup!I$4=Lookups!D$112),Projections!BJ36&gt;M$15),VLOOKUP(Setup!I$4,K$17:P$20,4),AND(OR(Setup!I$4=Lookups!D$110,Setup!I$4=Lookups!D$111),Projections!BJ36&gt;M$14),VLOOKUP(Setup!I$4,K$17:P$20,4),AND(OR(Setup!I$4=Lookups!D$109,Setup!I$4=Lookups!D$112),Projections!BJ36&gt;L$15),VLOOKUP(Setup!I$4,K$17:P$20,3),AND(OR(Setup!I$4=Lookups!D$110,Setup!I$4=Lookups!D$111),Projections!BJ36&gt;L$14),VLOOKUP(Setup!I$4,K$17:P$20,3),AND(OR(Setup!I$4=Lookups!D$109,Setup!I$4=Lookups!D$112),Projections!BJ36&lt;L$15),VLOOKUP(Setup!I$4,K$17:P$20,2),AND(OR(Setup!I$4=Lookups!D$110,Setup!I$4=Lookups!D$111),Projections!BJ36&lt;L$14),VLOOKUP(Setup!I$4,K$17:P$20,2))</f>
        <v>0</v>
      </c>
      <c r="D36" s="1">
        <f>IF(Projections!AW36+Projections!BG36&gt;0,Projections!AW36+Projections!BG36-C36-VLOOKUP(Setup!I$4,K$23:L$26,2)-IF(VLOOKUP(Setup!I$4,K$31:L$34,2)&gt;Projections!AW36+Projections!BG36,IF(OR(Setup!I$4="Head of household",Setup!I$4="Married filing jointly"),2*L$29, L$29),0),0)</f>
        <v>0</v>
      </c>
      <c r="E36" s="1" cm="1">
        <f t="array" ref="E36">IF(D36&gt;0,_xlfn.IFS(Setup!I$4=Lookups!D$109,-_xlfn.IFS(D36&gt;=L$48, N$48+(D36-L$48)*O$48,D36&gt;=L$47, N$47+(D36-L$47)*O$47,D36&gt;=L$46,N$46+(D36-L$46)*O$46,D36&lt;L$46,D36*O$45),Setup!I$4=Lookups!D$110,-_xlfn.IFS(D36&gt;=L$55, N$55+(D36-L$55)*O$55,D36&gt;=L$54, N$54+(D36-L$54)*O$54,D36&gt;=L$53, N$53+(D36-L$53)*O$53,D36&lt;L$53,D36*O$52),Setup!I$4=Lookups!D$111,-_xlfn.IFS(D36&gt;=L$62, N$62+(D36-L$62)*O$62,D36&gt;=L$61, N$61+(D36-L$61)*O$61,D36&gt;=L$60, N$60+(D36-L$60)*O$60,D36&lt;L$60,D36*O$59), Setup!I$4=Lookups!D$112,-_xlfn.IFS(D36&gt;=L$69, N$69+(D36-L$69)*O$69,D36&gt;=L$68, N$68+(D36-L$68)*O$68,D36&gt;=L$67, N$67+(D36-L$67)*O$67,D36&lt;L$67,D36*O$66)),0)</f>
        <v>0</v>
      </c>
      <c r="F36" s="18">
        <f t="shared" si="1"/>
        <v>0</v>
      </c>
      <c r="G36" s="1">
        <f t="shared" si="2"/>
        <v>0</v>
      </c>
      <c r="I36" s="1"/>
      <c r="J36" s="84"/>
      <c r="K36" s="85" t="s">
        <v>281</v>
      </c>
      <c r="L36" s="86"/>
      <c r="M36" s="87"/>
      <c r="N36" s="88"/>
      <c r="O36" s="88"/>
      <c r="P36" s="88"/>
      <c r="Q36" s="88"/>
      <c r="R36" s="48"/>
      <c r="S36" s="48"/>
      <c r="T36" s="48"/>
      <c r="U36" s="48"/>
      <c r="V36" s="130"/>
    </row>
    <row r="37" spans="1:22" x14ac:dyDescent="0.3">
      <c r="A37" s="1">
        <f t="shared" si="0"/>
        <v>0</v>
      </c>
      <c r="C37" s="1" cm="1">
        <f t="array" ref="C37">_xlfn.IFS(Projections!BJ37=0,0,AND(OR(Setup!I$4=Lookups!D$109,Setup!I$4=Lookups!D$112),Projections!BJ37&gt;P$15),0,AND(OR(Setup!I$4=Lookups!D$110,Setup!I$4=Lookups!D$111),Projections!BJ37&gt;P$14),0,AND(OR(Setup!I$4=Lookups!D$109,Setup!I$4=Lookups!D$112),Projections!BJ37&gt;O$15),VLOOKUP(Setup!I$4,K$17:P$20,6),AND(OR(Setup!I$4=Lookups!D$110,Setup!I$4=Lookups!D$111),Projections!BJ37&gt;O$14),VLOOKUP(Setup!I$4,K$17:P$20,6),AND(OR(Setup!I$4=Lookups!D$109,Setup!I$4=Lookups!D$112),Projections!BJ37&gt;N$15),VLOOKUP(Setup!I$4,K$17:P$20,5),AND(OR(Setup!I$4=Lookups!D$110,Setup!I$4=Lookups!D$111),Projections!BJ37&gt;N$14),VLOOKUP(Setup!I$4,K$17:P$20,5),AND(OR(Setup!I$4=Lookups!D$109,Setup!I$4=Lookups!D$112),Projections!BJ37&gt;M$15),VLOOKUP(Setup!I$4,K$17:P$20,4),AND(OR(Setup!I$4=Lookups!D$110,Setup!I$4=Lookups!D$111),Projections!BJ37&gt;M$14),VLOOKUP(Setup!I$4,K$17:P$20,4),AND(OR(Setup!I$4=Lookups!D$109,Setup!I$4=Lookups!D$112),Projections!BJ37&gt;L$15),VLOOKUP(Setup!I$4,K$17:P$20,3),AND(OR(Setup!I$4=Lookups!D$110,Setup!I$4=Lookups!D$111),Projections!BJ37&gt;L$14),VLOOKUP(Setup!I$4,K$17:P$20,3),AND(OR(Setup!I$4=Lookups!D$109,Setup!I$4=Lookups!D$112),Projections!BJ37&lt;L$15),VLOOKUP(Setup!I$4,K$17:P$20,2),AND(OR(Setup!I$4=Lookups!D$110,Setup!I$4=Lookups!D$111),Projections!BJ37&lt;L$14),VLOOKUP(Setup!I$4,K$17:P$20,2))</f>
        <v>0</v>
      </c>
      <c r="D37" s="1">
        <f>IF(Projections!AW37+Projections!BG37&gt;0,Projections!AW37+Projections!BG37-C37-VLOOKUP(Setup!I$4,K$23:L$26,2)-IF(VLOOKUP(Setup!I$4,K$31:L$34,2)&gt;Projections!AW37+Projections!BG37,IF(OR(Setup!I$4="Head of household",Setup!I$4="Married filing jointly"),2*L$29, L$29),0),0)</f>
        <v>0</v>
      </c>
      <c r="E37" s="1" cm="1">
        <f t="array" ref="E37">IF(D37&gt;0,_xlfn.IFS(Setup!I$4=Lookups!D$109,-_xlfn.IFS(D37&gt;=L$48, N$48+(D37-L$48)*O$48,D37&gt;=L$47, N$47+(D37-L$47)*O$47,D37&gt;=L$46,N$46+(D37-L$46)*O$46,D37&lt;L$46,D37*O$45),Setup!I$4=Lookups!D$110,-_xlfn.IFS(D37&gt;=L$55, N$55+(D37-L$55)*O$55,D37&gt;=L$54, N$54+(D37-L$54)*O$54,D37&gt;=L$53, N$53+(D37-L$53)*O$53,D37&lt;L$53,D37*O$52),Setup!I$4=Lookups!D$111,-_xlfn.IFS(D37&gt;=L$62, N$62+(D37-L$62)*O$62,D37&gt;=L$61, N$61+(D37-L$61)*O$61,D37&gt;=L$60, N$60+(D37-L$60)*O$60,D37&lt;L$60,D37*O$59), Setup!I$4=Lookups!D$112,-_xlfn.IFS(D37&gt;=L$69, N$69+(D37-L$69)*O$69,D37&gt;=L$68, N$68+(D37-L$68)*O$68,D37&gt;=L$67, N$67+(D37-L$67)*O$67,D37&lt;L$67,D37*O$66)),0)</f>
        <v>0</v>
      </c>
      <c r="F37" s="18">
        <f t="shared" si="1"/>
        <v>0</v>
      </c>
      <c r="G37" s="1">
        <f t="shared" si="2"/>
        <v>0</v>
      </c>
      <c r="I37" s="1"/>
      <c r="J37" s="84"/>
      <c r="K37" s="85"/>
      <c r="L37" s="342">
        <v>4.7500000000000001E-2</v>
      </c>
      <c r="M37" s="342">
        <v>6.7500000000000004E-2</v>
      </c>
      <c r="N37" s="342">
        <v>8.7499999999999994E-2</v>
      </c>
      <c r="O37" s="342">
        <v>9.9000000000000005E-2</v>
      </c>
      <c r="P37" s="89"/>
      <c r="Q37" s="88"/>
      <c r="R37" s="48"/>
      <c r="S37" s="48"/>
      <c r="T37" s="48"/>
      <c r="U37" s="48"/>
      <c r="V37" s="130"/>
    </row>
    <row r="38" spans="1:22" x14ac:dyDescent="0.3">
      <c r="A38" s="1">
        <f t="shared" si="0"/>
        <v>0</v>
      </c>
      <c r="C38" s="1" cm="1">
        <f t="array" ref="C38">_xlfn.IFS(Projections!BJ38=0,0,AND(OR(Setup!I$4=Lookups!D$109,Setup!I$4=Lookups!D$112),Projections!BJ38&gt;P$15),0,AND(OR(Setup!I$4=Lookups!D$110,Setup!I$4=Lookups!D$111),Projections!BJ38&gt;P$14),0,AND(OR(Setup!I$4=Lookups!D$109,Setup!I$4=Lookups!D$112),Projections!BJ38&gt;O$15),VLOOKUP(Setup!I$4,K$17:P$20,6),AND(OR(Setup!I$4=Lookups!D$110,Setup!I$4=Lookups!D$111),Projections!BJ38&gt;O$14),VLOOKUP(Setup!I$4,K$17:P$20,6),AND(OR(Setup!I$4=Lookups!D$109,Setup!I$4=Lookups!D$112),Projections!BJ38&gt;N$15),VLOOKUP(Setup!I$4,K$17:P$20,5),AND(OR(Setup!I$4=Lookups!D$110,Setup!I$4=Lookups!D$111),Projections!BJ38&gt;N$14),VLOOKUP(Setup!I$4,K$17:P$20,5),AND(OR(Setup!I$4=Lookups!D$109,Setup!I$4=Lookups!D$112),Projections!BJ38&gt;M$15),VLOOKUP(Setup!I$4,K$17:P$20,4),AND(OR(Setup!I$4=Lookups!D$110,Setup!I$4=Lookups!D$111),Projections!BJ38&gt;M$14),VLOOKUP(Setup!I$4,K$17:P$20,4),AND(OR(Setup!I$4=Lookups!D$109,Setup!I$4=Lookups!D$112),Projections!BJ38&gt;L$15),VLOOKUP(Setup!I$4,K$17:P$20,3),AND(OR(Setup!I$4=Lookups!D$110,Setup!I$4=Lookups!D$111),Projections!BJ38&gt;L$14),VLOOKUP(Setup!I$4,K$17:P$20,3),AND(OR(Setup!I$4=Lookups!D$109,Setup!I$4=Lookups!D$112),Projections!BJ38&lt;L$15),VLOOKUP(Setup!I$4,K$17:P$20,2),AND(OR(Setup!I$4=Lookups!D$110,Setup!I$4=Lookups!D$111),Projections!BJ38&lt;L$14),VLOOKUP(Setup!I$4,K$17:P$20,2))</f>
        <v>0</v>
      </c>
      <c r="D38" s="1">
        <f>IF(Projections!AW38+Projections!BG38&gt;0,Projections!AW38+Projections!BG38-C38-VLOOKUP(Setup!I$4,K$23:L$26,2)-IF(VLOOKUP(Setup!I$4,K$31:L$34,2)&gt;Projections!AW38+Projections!BG38,IF(OR(Setup!I$4="Head of household",Setup!I$4="Married filing jointly"),2*L$29, L$29),0),0)</f>
        <v>0</v>
      </c>
      <c r="E38" s="1" cm="1">
        <f t="array" ref="E38">IF(D38&gt;0,_xlfn.IFS(Setup!I$4=Lookups!D$109,-_xlfn.IFS(D38&gt;=L$48, N$48+(D38-L$48)*O$48,D38&gt;=L$47, N$47+(D38-L$47)*O$47,D38&gt;=L$46,N$46+(D38-L$46)*O$46,D38&lt;L$46,D38*O$45),Setup!I$4=Lookups!D$110,-_xlfn.IFS(D38&gt;=L$55, N$55+(D38-L$55)*O$55,D38&gt;=L$54, N$54+(D38-L$54)*O$54,D38&gt;=L$53, N$53+(D38-L$53)*O$53,D38&lt;L$53,D38*O$52),Setup!I$4=Lookups!D$111,-_xlfn.IFS(D38&gt;=L$62, N$62+(D38-L$62)*O$62,D38&gt;=L$61, N$61+(D38-L$61)*O$61,D38&gt;=L$60, N$60+(D38-L$60)*O$60,D38&lt;L$60,D38*O$59), Setup!I$4=Lookups!D$112,-_xlfn.IFS(D38&gt;=L$69, N$69+(D38-L$69)*O$69,D38&gt;=L$68, N$68+(D38-L$68)*O$68,D38&gt;=L$67, N$67+(D38-L$67)*O$67,D38&lt;L$67,D38*O$66)),0)</f>
        <v>0</v>
      </c>
      <c r="F38" s="18">
        <f t="shared" si="1"/>
        <v>0</v>
      </c>
      <c r="G38" s="1">
        <f t="shared" si="2"/>
        <v>0</v>
      </c>
      <c r="I38" s="1"/>
      <c r="J38" s="84"/>
      <c r="K38" s="57" t="str">
        <f>Lookups!D$111</f>
        <v>Head of household</v>
      </c>
      <c r="L38" s="340">
        <v>7300</v>
      </c>
      <c r="M38" s="341">
        <v>18400</v>
      </c>
      <c r="N38" s="341">
        <v>250000</v>
      </c>
      <c r="O38" s="48"/>
      <c r="P38" s="88"/>
      <c r="Q38" s="88"/>
      <c r="R38" s="48"/>
      <c r="S38" s="48"/>
      <c r="T38" s="48"/>
      <c r="U38" s="48"/>
      <c r="V38" s="130"/>
    </row>
    <row r="39" spans="1:22" x14ac:dyDescent="0.3">
      <c r="A39" s="1">
        <f t="shared" ref="A39:A70" si="3">E39+G39</f>
        <v>0</v>
      </c>
      <c r="C39" s="1" cm="1">
        <f t="array" ref="C39">_xlfn.IFS(Projections!BJ39=0,0,AND(OR(Setup!I$4=Lookups!D$109,Setup!I$4=Lookups!D$112),Projections!BJ39&gt;P$15),0,AND(OR(Setup!I$4=Lookups!D$110,Setup!I$4=Lookups!D$111),Projections!BJ39&gt;P$14),0,AND(OR(Setup!I$4=Lookups!D$109,Setup!I$4=Lookups!D$112),Projections!BJ39&gt;O$15),VLOOKUP(Setup!I$4,K$17:P$20,6),AND(OR(Setup!I$4=Lookups!D$110,Setup!I$4=Lookups!D$111),Projections!BJ39&gt;O$14),VLOOKUP(Setup!I$4,K$17:P$20,6),AND(OR(Setup!I$4=Lookups!D$109,Setup!I$4=Lookups!D$112),Projections!BJ39&gt;N$15),VLOOKUP(Setup!I$4,K$17:P$20,5),AND(OR(Setup!I$4=Lookups!D$110,Setup!I$4=Lookups!D$111),Projections!BJ39&gt;N$14),VLOOKUP(Setup!I$4,K$17:P$20,5),AND(OR(Setup!I$4=Lookups!D$109,Setup!I$4=Lookups!D$112),Projections!BJ39&gt;M$15),VLOOKUP(Setup!I$4,K$17:P$20,4),AND(OR(Setup!I$4=Lookups!D$110,Setup!I$4=Lookups!D$111),Projections!BJ39&gt;M$14),VLOOKUP(Setup!I$4,K$17:P$20,4),AND(OR(Setup!I$4=Lookups!D$109,Setup!I$4=Lookups!D$112),Projections!BJ39&gt;L$15),VLOOKUP(Setup!I$4,K$17:P$20,3),AND(OR(Setup!I$4=Lookups!D$110,Setup!I$4=Lookups!D$111),Projections!BJ39&gt;L$14),VLOOKUP(Setup!I$4,K$17:P$20,3),AND(OR(Setup!I$4=Lookups!D$109,Setup!I$4=Lookups!D$112),Projections!BJ39&lt;L$15),VLOOKUP(Setup!I$4,K$17:P$20,2),AND(OR(Setup!I$4=Lookups!D$110,Setup!I$4=Lookups!D$111),Projections!BJ39&lt;L$14),VLOOKUP(Setup!I$4,K$17:P$20,2))</f>
        <v>0</v>
      </c>
      <c r="D39" s="1">
        <f>IF(Projections!AW39+Projections!BG39&gt;0,Projections!AW39+Projections!BG39-C39-VLOOKUP(Setup!I$4,K$23:L$26,2)-IF(VLOOKUP(Setup!I$4,K$31:L$34,2)&gt;Projections!AW39+Projections!BG39,IF(OR(Setup!I$4="Head of household",Setup!I$4="Married filing jointly"),2*L$29, L$29),0),0)</f>
        <v>0</v>
      </c>
      <c r="E39" s="1" cm="1">
        <f t="array" ref="E39">IF(D39&gt;0,_xlfn.IFS(Setup!I$4=Lookups!D$109,-_xlfn.IFS(D39&gt;=L$48, N$48+(D39-L$48)*O$48,D39&gt;=L$47, N$47+(D39-L$47)*O$47,D39&gt;=L$46,N$46+(D39-L$46)*O$46,D39&lt;L$46,D39*O$45),Setup!I$4=Lookups!D$110,-_xlfn.IFS(D39&gt;=L$55, N$55+(D39-L$55)*O$55,D39&gt;=L$54, N$54+(D39-L$54)*O$54,D39&gt;=L$53, N$53+(D39-L$53)*O$53,D39&lt;L$53,D39*O$52),Setup!I$4=Lookups!D$111,-_xlfn.IFS(D39&gt;=L$62, N$62+(D39-L$62)*O$62,D39&gt;=L$61, N$61+(D39-L$61)*O$61,D39&gt;=L$60, N$60+(D39-L$60)*O$60,D39&lt;L$60,D39*O$59), Setup!I$4=Lookups!D$112,-_xlfn.IFS(D39&gt;=L$69, N$69+(D39-L$69)*O$69,D39&gt;=L$68, N$68+(D39-L$68)*O$68,D39&gt;=L$67, N$67+(D39-L$67)*O$67,D39&lt;L$67,D39*O$66)),0)</f>
        <v>0</v>
      </c>
      <c r="F39" s="18">
        <f t="shared" ref="F39:F70" si="4">IF(D39=0,0,-E39/D39)</f>
        <v>0</v>
      </c>
      <c r="G39" s="1">
        <f t="shared" ref="G39:G70" si="5">IF(D39=0,0,(E39*F39^2)+(E39*F39^3)+(E39*F39^4)+(E39*F39^5)+(E39*F39^6)+(E39*F39^7)+(E39*F39^8)+(E39*F39^9)+(E39*F39^10))</f>
        <v>0</v>
      </c>
      <c r="I39" s="1"/>
      <c r="J39" s="84"/>
      <c r="K39" s="57" t="str">
        <f>Lookups!D$110</f>
        <v>Married filing jointly</v>
      </c>
      <c r="L39" s="340">
        <v>7300</v>
      </c>
      <c r="M39" s="341">
        <v>18400</v>
      </c>
      <c r="N39" s="341">
        <v>250000</v>
      </c>
      <c r="O39" s="48"/>
      <c r="P39" s="88"/>
      <c r="Q39" s="88"/>
      <c r="R39" s="48"/>
      <c r="S39" s="48"/>
      <c r="T39" s="48"/>
      <c r="U39" s="48"/>
      <c r="V39" s="130"/>
    </row>
    <row r="40" spans="1:22" x14ac:dyDescent="0.3">
      <c r="A40" s="1">
        <f t="shared" si="3"/>
        <v>0</v>
      </c>
      <c r="C40" s="1" cm="1">
        <f t="array" ref="C40">_xlfn.IFS(Projections!BJ40=0,0,AND(OR(Setup!I$4=Lookups!D$109,Setup!I$4=Lookups!D$112),Projections!BJ40&gt;P$15),0,AND(OR(Setup!I$4=Lookups!D$110,Setup!I$4=Lookups!D$111),Projections!BJ40&gt;P$14),0,AND(OR(Setup!I$4=Lookups!D$109,Setup!I$4=Lookups!D$112),Projections!BJ40&gt;O$15),VLOOKUP(Setup!I$4,K$17:P$20,6),AND(OR(Setup!I$4=Lookups!D$110,Setup!I$4=Lookups!D$111),Projections!BJ40&gt;O$14),VLOOKUP(Setup!I$4,K$17:P$20,6),AND(OR(Setup!I$4=Lookups!D$109,Setup!I$4=Lookups!D$112),Projections!BJ40&gt;N$15),VLOOKUP(Setup!I$4,K$17:P$20,5),AND(OR(Setup!I$4=Lookups!D$110,Setup!I$4=Lookups!D$111),Projections!BJ40&gt;N$14),VLOOKUP(Setup!I$4,K$17:P$20,5),AND(OR(Setup!I$4=Lookups!D$109,Setup!I$4=Lookups!D$112),Projections!BJ40&gt;M$15),VLOOKUP(Setup!I$4,K$17:P$20,4),AND(OR(Setup!I$4=Lookups!D$110,Setup!I$4=Lookups!D$111),Projections!BJ40&gt;M$14),VLOOKUP(Setup!I$4,K$17:P$20,4),AND(OR(Setup!I$4=Lookups!D$109,Setup!I$4=Lookups!D$112),Projections!BJ40&gt;L$15),VLOOKUP(Setup!I$4,K$17:P$20,3),AND(OR(Setup!I$4=Lookups!D$110,Setup!I$4=Lookups!D$111),Projections!BJ40&gt;L$14),VLOOKUP(Setup!I$4,K$17:P$20,3),AND(OR(Setup!I$4=Lookups!D$109,Setup!I$4=Lookups!D$112),Projections!BJ40&lt;L$15),VLOOKUP(Setup!I$4,K$17:P$20,2),AND(OR(Setup!I$4=Lookups!D$110,Setup!I$4=Lookups!D$111),Projections!BJ40&lt;L$14),VLOOKUP(Setup!I$4,K$17:P$20,2))</f>
        <v>0</v>
      </c>
      <c r="D40" s="1">
        <f>IF(Projections!AW40+Projections!BG40&gt;0,Projections!AW40+Projections!BG40-C40-VLOOKUP(Setup!I$4,K$23:L$26,2)-IF(VLOOKUP(Setup!I$4,K$31:L$34,2)&gt;Projections!AW40+Projections!BG40,IF(OR(Setup!I$4="Head of household",Setup!I$4="Married filing jointly"),2*L$29, L$29),0),0)</f>
        <v>0</v>
      </c>
      <c r="E40" s="1" cm="1">
        <f t="array" ref="E40">IF(D40&gt;0,_xlfn.IFS(Setup!I$4=Lookups!D$109,-_xlfn.IFS(D40&gt;=L$48, N$48+(D40-L$48)*O$48,D40&gt;=L$47, N$47+(D40-L$47)*O$47,D40&gt;=L$46,N$46+(D40-L$46)*O$46,D40&lt;L$46,D40*O$45),Setup!I$4=Lookups!D$110,-_xlfn.IFS(D40&gt;=L$55, N$55+(D40-L$55)*O$55,D40&gt;=L$54, N$54+(D40-L$54)*O$54,D40&gt;=L$53, N$53+(D40-L$53)*O$53,D40&lt;L$53,D40*O$52),Setup!I$4=Lookups!D$111,-_xlfn.IFS(D40&gt;=L$62, N$62+(D40-L$62)*O$62,D40&gt;=L$61, N$61+(D40-L$61)*O$61,D40&gt;=L$60, N$60+(D40-L$60)*O$60,D40&lt;L$60,D40*O$59), Setup!I$4=Lookups!D$112,-_xlfn.IFS(D40&gt;=L$69, N$69+(D40-L$69)*O$69,D40&gt;=L$68, N$68+(D40-L$68)*O$68,D40&gt;=L$67, N$67+(D40-L$67)*O$67,D40&lt;L$67,D40*O$66)),0)</f>
        <v>0</v>
      </c>
      <c r="F40" s="18">
        <f t="shared" si="4"/>
        <v>0</v>
      </c>
      <c r="G40" s="1">
        <f t="shared" si="5"/>
        <v>0</v>
      </c>
      <c r="I40" s="1"/>
      <c r="J40" s="84"/>
      <c r="K40" s="57" t="str">
        <f>Lookups!D$112</f>
        <v>Married filing separately</v>
      </c>
      <c r="L40" s="340">
        <v>3650</v>
      </c>
      <c r="M40" s="341">
        <v>9200</v>
      </c>
      <c r="N40" s="341">
        <v>125000</v>
      </c>
      <c r="O40" s="48"/>
      <c r="P40" s="88"/>
      <c r="Q40" s="88"/>
      <c r="R40" s="48"/>
      <c r="S40" s="48"/>
      <c r="T40" s="48"/>
      <c r="U40" s="48"/>
      <c r="V40" s="130"/>
    </row>
    <row r="41" spans="1:22" x14ac:dyDescent="0.3">
      <c r="A41" s="1">
        <f t="shared" si="3"/>
        <v>0</v>
      </c>
      <c r="C41" s="1" cm="1">
        <f t="array" ref="C41">_xlfn.IFS(Projections!BJ41=0,0,AND(OR(Setup!I$4=Lookups!D$109,Setup!I$4=Lookups!D$112),Projections!BJ41&gt;P$15),0,AND(OR(Setup!I$4=Lookups!D$110,Setup!I$4=Lookups!D$111),Projections!BJ41&gt;P$14),0,AND(OR(Setup!I$4=Lookups!D$109,Setup!I$4=Lookups!D$112),Projections!BJ41&gt;O$15),VLOOKUP(Setup!I$4,K$17:P$20,6),AND(OR(Setup!I$4=Lookups!D$110,Setup!I$4=Lookups!D$111),Projections!BJ41&gt;O$14),VLOOKUP(Setup!I$4,K$17:P$20,6),AND(OR(Setup!I$4=Lookups!D$109,Setup!I$4=Lookups!D$112),Projections!BJ41&gt;N$15),VLOOKUP(Setup!I$4,K$17:P$20,5),AND(OR(Setup!I$4=Lookups!D$110,Setup!I$4=Lookups!D$111),Projections!BJ41&gt;N$14),VLOOKUP(Setup!I$4,K$17:P$20,5),AND(OR(Setup!I$4=Lookups!D$109,Setup!I$4=Lookups!D$112),Projections!BJ41&gt;M$15),VLOOKUP(Setup!I$4,K$17:P$20,4),AND(OR(Setup!I$4=Lookups!D$110,Setup!I$4=Lookups!D$111),Projections!BJ41&gt;M$14),VLOOKUP(Setup!I$4,K$17:P$20,4),AND(OR(Setup!I$4=Lookups!D$109,Setup!I$4=Lookups!D$112),Projections!BJ41&gt;L$15),VLOOKUP(Setup!I$4,K$17:P$20,3),AND(OR(Setup!I$4=Lookups!D$110,Setup!I$4=Lookups!D$111),Projections!BJ41&gt;L$14),VLOOKUP(Setup!I$4,K$17:P$20,3),AND(OR(Setup!I$4=Lookups!D$109,Setup!I$4=Lookups!D$112),Projections!BJ41&lt;L$15),VLOOKUP(Setup!I$4,K$17:P$20,2),AND(OR(Setup!I$4=Lookups!D$110,Setup!I$4=Lookups!D$111),Projections!BJ41&lt;L$14),VLOOKUP(Setup!I$4,K$17:P$20,2))</f>
        <v>0</v>
      </c>
      <c r="D41" s="1">
        <f>IF(Projections!AW41+Projections!BG41&gt;0,Projections!AW41+Projections!BG41-C41-VLOOKUP(Setup!I$4,K$23:L$26,2)-IF(VLOOKUP(Setup!I$4,K$31:L$34,2)&gt;Projections!AW41+Projections!BG41,IF(OR(Setup!I$4="Head of household",Setup!I$4="Married filing jointly"),2*L$29, L$29),0),0)</f>
        <v>0</v>
      </c>
      <c r="E41" s="1" cm="1">
        <f t="array" ref="E41">IF(D41&gt;0,_xlfn.IFS(Setup!I$4=Lookups!D$109,-_xlfn.IFS(D41&gt;=L$48, N$48+(D41-L$48)*O$48,D41&gt;=L$47, N$47+(D41-L$47)*O$47,D41&gt;=L$46,N$46+(D41-L$46)*O$46,D41&lt;L$46,D41*O$45),Setup!I$4=Lookups!D$110,-_xlfn.IFS(D41&gt;=L$55, N$55+(D41-L$55)*O$55,D41&gt;=L$54, N$54+(D41-L$54)*O$54,D41&gt;=L$53, N$53+(D41-L$53)*O$53,D41&lt;L$53,D41*O$52),Setup!I$4=Lookups!D$111,-_xlfn.IFS(D41&gt;=L$62, N$62+(D41-L$62)*O$62,D41&gt;=L$61, N$61+(D41-L$61)*O$61,D41&gt;=L$60, N$60+(D41-L$60)*O$60,D41&lt;L$60,D41*O$59), Setup!I$4=Lookups!D$112,-_xlfn.IFS(D41&gt;=L$69, N$69+(D41-L$69)*O$69,D41&gt;=L$68, N$68+(D41-L$68)*O$68,D41&gt;=L$67, N$67+(D41-L$67)*O$67,D41&lt;L$67,D41*O$66)),0)</f>
        <v>0</v>
      </c>
      <c r="F41" s="18">
        <f t="shared" si="4"/>
        <v>0</v>
      </c>
      <c r="G41" s="1">
        <f t="shared" si="5"/>
        <v>0</v>
      </c>
      <c r="I41" s="1"/>
      <c r="J41" s="84"/>
      <c r="K41" s="57" t="str">
        <f>Lookups!D$109</f>
        <v>Single</v>
      </c>
      <c r="L41" s="340">
        <v>3650</v>
      </c>
      <c r="M41" s="341">
        <v>9200</v>
      </c>
      <c r="N41" s="341">
        <v>125000</v>
      </c>
      <c r="O41" s="48"/>
      <c r="P41" s="88"/>
      <c r="Q41" s="88"/>
      <c r="R41" s="48"/>
      <c r="S41" s="48"/>
      <c r="T41" s="48"/>
      <c r="U41" s="48"/>
      <c r="V41" s="130"/>
    </row>
    <row r="42" spans="1:22" x14ac:dyDescent="0.3">
      <c r="A42" s="1">
        <f t="shared" si="3"/>
        <v>0</v>
      </c>
      <c r="C42" s="1" cm="1">
        <f t="array" ref="C42">_xlfn.IFS(Projections!BJ42=0,0,AND(OR(Setup!I$4=Lookups!D$109,Setup!I$4=Lookups!D$112),Projections!BJ42&gt;P$15),0,AND(OR(Setup!I$4=Lookups!D$110,Setup!I$4=Lookups!D$111),Projections!BJ42&gt;P$14),0,AND(OR(Setup!I$4=Lookups!D$109,Setup!I$4=Lookups!D$112),Projections!BJ42&gt;O$15),VLOOKUP(Setup!I$4,K$17:P$20,6),AND(OR(Setup!I$4=Lookups!D$110,Setup!I$4=Lookups!D$111),Projections!BJ42&gt;O$14),VLOOKUP(Setup!I$4,K$17:P$20,6),AND(OR(Setup!I$4=Lookups!D$109,Setup!I$4=Lookups!D$112),Projections!BJ42&gt;N$15),VLOOKUP(Setup!I$4,K$17:P$20,5),AND(OR(Setup!I$4=Lookups!D$110,Setup!I$4=Lookups!D$111),Projections!BJ42&gt;N$14),VLOOKUP(Setup!I$4,K$17:P$20,5),AND(OR(Setup!I$4=Lookups!D$109,Setup!I$4=Lookups!D$112),Projections!BJ42&gt;M$15),VLOOKUP(Setup!I$4,K$17:P$20,4),AND(OR(Setup!I$4=Lookups!D$110,Setup!I$4=Lookups!D$111),Projections!BJ42&gt;M$14),VLOOKUP(Setup!I$4,K$17:P$20,4),AND(OR(Setup!I$4=Lookups!D$109,Setup!I$4=Lookups!D$112),Projections!BJ42&gt;L$15),VLOOKUP(Setup!I$4,K$17:P$20,3),AND(OR(Setup!I$4=Lookups!D$110,Setup!I$4=Lookups!D$111),Projections!BJ42&gt;L$14),VLOOKUP(Setup!I$4,K$17:P$20,3),AND(OR(Setup!I$4=Lookups!D$109,Setup!I$4=Lookups!D$112),Projections!BJ42&lt;L$15),VLOOKUP(Setup!I$4,K$17:P$20,2),AND(OR(Setup!I$4=Lookups!D$110,Setup!I$4=Lookups!D$111),Projections!BJ42&lt;L$14),VLOOKUP(Setup!I$4,K$17:P$20,2))</f>
        <v>0</v>
      </c>
      <c r="D42" s="1">
        <f>IF(Projections!AW42+Projections!BG42&gt;0,Projections!AW42+Projections!BG42-C42-VLOOKUP(Setup!I$4,K$23:L$26,2)-IF(VLOOKUP(Setup!I$4,K$31:L$34,2)&gt;Projections!AW42+Projections!BG42,IF(OR(Setup!I$4="Head of household",Setup!I$4="Married filing jointly"),2*L$29, L$29),0),0)</f>
        <v>0</v>
      </c>
      <c r="E42" s="1" cm="1">
        <f t="array" ref="E42">IF(D42&gt;0,_xlfn.IFS(Setup!I$4=Lookups!D$109,-_xlfn.IFS(D42&gt;=L$48, N$48+(D42-L$48)*O$48,D42&gt;=L$47, N$47+(D42-L$47)*O$47,D42&gt;=L$46,N$46+(D42-L$46)*O$46,D42&lt;L$46,D42*O$45),Setup!I$4=Lookups!D$110,-_xlfn.IFS(D42&gt;=L$55, N$55+(D42-L$55)*O$55,D42&gt;=L$54, N$54+(D42-L$54)*O$54,D42&gt;=L$53, N$53+(D42-L$53)*O$53,D42&lt;L$53,D42*O$52),Setup!I$4=Lookups!D$111,-_xlfn.IFS(D42&gt;=L$62, N$62+(D42-L$62)*O$62,D42&gt;=L$61, N$61+(D42-L$61)*O$61,D42&gt;=L$60, N$60+(D42-L$60)*O$60,D42&lt;L$60,D42*O$59), Setup!I$4=Lookups!D$112,-_xlfn.IFS(D42&gt;=L$69, N$69+(D42-L$69)*O$69,D42&gt;=L$68, N$68+(D42-L$68)*O$68,D42&gt;=L$67, N$67+(D42-L$67)*O$67,D42&lt;L$67,D42*O$66)),0)</f>
        <v>0</v>
      </c>
      <c r="F42" s="18">
        <f t="shared" si="4"/>
        <v>0</v>
      </c>
      <c r="G42" s="1">
        <f t="shared" si="5"/>
        <v>0</v>
      </c>
      <c r="I42" s="1"/>
      <c r="J42" s="84"/>
      <c r="K42" s="90"/>
      <c r="L42" s="91"/>
      <c r="M42" s="92"/>
      <c r="N42" s="93"/>
      <c r="O42" s="93"/>
      <c r="P42" s="88"/>
      <c r="Q42" s="88"/>
      <c r="R42" s="48"/>
      <c r="S42" s="48"/>
      <c r="T42" s="48"/>
      <c r="U42" s="48"/>
      <c r="V42" s="130"/>
    </row>
    <row r="43" spans="1:22" x14ac:dyDescent="0.3">
      <c r="A43" s="1">
        <f t="shared" si="3"/>
        <v>0</v>
      </c>
      <c r="C43" s="1" cm="1">
        <f t="array" ref="C43">_xlfn.IFS(Projections!BJ43=0,0,AND(OR(Setup!I$4=Lookups!D$109,Setup!I$4=Lookups!D$112),Projections!BJ43&gt;P$15),0,AND(OR(Setup!I$4=Lookups!D$110,Setup!I$4=Lookups!D$111),Projections!BJ43&gt;P$14),0,AND(OR(Setup!I$4=Lookups!D$109,Setup!I$4=Lookups!D$112),Projections!BJ43&gt;O$15),VLOOKUP(Setup!I$4,K$17:P$20,6),AND(OR(Setup!I$4=Lookups!D$110,Setup!I$4=Lookups!D$111),Projections!BJ43&gt;O$14),VLOOKUP(Setup!I$4,K$17:P$20,6),AND(OR(Setup!I$4=Lookups!D$109,Setup!I$4=Lookups!D$112),Projections!BJ43&gt;N$15),VLOOKUP(Setup!I$4,K$17:P$20,5),AND(OR(Setup!I$4=Lookups!D$110,Setup!I$4=Lookups!D$111),Projections!BJ43&gt;N$14),VLOOKUP(Setup!I$4,K$17:P$20,5),AND(OR(Setup!I$4=Lookups!D$109,Setup!I$4=Lookups!D$112),Projections!BJ43&gt;M$15),VLOOKUP(Setup!I$4,K$17:P$20,4),AND(OR(Setup!I$4=Lookups!D$110,Setup!I$4=Lookups!D$111),Projections!BJ43&gt;M$14),VLOOKUP(Setup!I$4,K$17:P$20,4),AND(OR(Setup!I$4=Lookups!D$109,Setup!I$4=Lookups!D$112),Projections!BJ43&gt;L$15),VLOOKUP(Setup!I$4,K$17:P$20,3),AND(OR(Setup!I$4=Lookups!D$110,Setup!I$4=Lookups!D$111),Projections!BJ43&gt;L$14),VLOOKUP(Setup!I$4,K$17:P$20,3),AND(OR(Setup!I$4=Lookups!D$109,Setup!I$4=Lookups!D$112),Projections!BJ43&lt;L$15),VLOOKUP(Setup!I$4,K$17:P$20,2),AND(OR(Setup!I$4=Lookups!D$110,Setup!I$4=Lookups!D$111),Projections!BJ43&lt;L$14),VLOOKUP(Setup!I$4,K$17:P$20,2))</f>
        <v>0</v>
      </c>
      <c r="D43" s="1">
        <f>IF(Projections!AW43+Projections!BG43&gt;0,Projections!AW43+Projections!BG43-C43-VLOOKUP(Setup!I$4,K$23:L$26,2)-IF(VLOOKUP(Setup!I$4,K$31:L$34,2)&gt;Projections!AW43+Projections!BG43,IF(OR(Setup!I$4="Head of household",Setup!I$4="Married filing jointly"),2*L$29, L$29),0),0)</f>
        <v>0</v>
      </c>
      <c r="E43" s="1" cm="1">
        <f t="array" ref="E43">IF(D43&gt;0,_xlfn.IFS(Setup!I$4=Lookups!D$109,-_xlfn.IFS(D43&gt;=L$48, N$48+(D43-L$48)*O$48,D43&gt;=L$47, N$47+(D43-L$47)*O$47,D43&gt;=L$46,N$46+(D43-L$46)*O$46,D43&lt;L$46,D43*O$45),Setup!I$4=Lookups!D$110,-_xlfn.IFS(D43&gt;=L$55, N$55+(D43-L$55)*O$55,D43&gt;=L$54, N$54+(D43-L$54)*O$54,D43&gt;=L$53, N$53+(D43-L$53)*O$53,D43&lt;L$53,D43*O$52),Setup!I$4=Lookups!D$111,-_xlfn.IFS(D43&gt;=L$62, N$62+(D43-L$62)*O$62,D43&gt;=L$61, N$61+(D43-L$61)*O$61,D43&gt;=L$60, N$60+(D43-L$60)*O$60,D43&lt;L$60,D43*O$59), Setup!I$4=Lookups!D$112,-_xlfn.IFS(D43&gt;=L$69, N$69+(D43-L$69)*O$69,D43&gt;=L$68, N$68+(D43-L$68)*O$68,D43&gt;=L$67, N$67+(D43-L$67)*O$67,D43&lt;L$67,D43*O$66)),0)</f>
        <v>0</v>
      </c>
      <c r="F43" s="18">
        <f t="shared" si="4"/>
        <v>0</v>
      </c>
      <c r="G43" s="1">
        <f t="shared" si="5"/>
        <v>0</v>
      </c>
      <c r="I43" s="1"/>
      <c r="J43" s="84"/>
      <c r="K43" s="90"/>
      <c r="L43" s="111" t="s">
        <v>101</v>
      </c>
      <c r="M43" s="112"/>
      <c r="N43" s="112"/>
      <c r="O43" s="113"/>
      <c r="P43" s="88"/>
      <c r="Q43" s="88"/>
      <c r="R43" s="48"/>
      <c r="S43" s="48"/>
      <c r="T43" s="48"/>
      <c r="U43" s="48"/>
      <c r="V43" s="130"/>
    </row>
    <row r="44" spans="1:22" x14ac:dyDescent="0.3">
      <c r="A44" s="1">
        <f t="shared" si="3"/>
        <v>0</v>
      </c>
      <c r="C44" s="1" cm="1">
        <f t="array" ref="C44">_xlfn.IFS(Projections!BJ44=0,0,AND(OR(Setup!I$4=Lookups!D$109,Setup!I$4=Lookups!D$112),Projections!BJ44&gt;P$15),0,AND(OR(Setup!I$4=Lookups!D$110,Setup!I$4=Lookups!D$111),Projections!BJ44&gt;P$14),0,AND(OR(Setup!I$4=Lookups!D$109,Setup!I$4=Lookups!D$112),Projections!BJ44&gt;O$15),VLOOKUP(Setup!I$4,K$17:P$20,6),AND(OR(Setup!I$4=Lookups!D$110,Setup!I$4=Lookups!D$111),Projections!BJ44&gt;O$14),VLOOKUP(Setup!I$4,K$17:P$20,6),AND(OR(Setup!I$4=Lookups!D$109,Setup!I$4=Lookups!D$112),Projections!BJ44&gt;N$15),VLOOKUP(Setup!I$4,K$17:P$20,5),AND(OR(Setup!I$4=Lookups!D$110,Setup!I$4=Lookups!D$111),Projections!BJ44&gt;N$14),VLOOKUP(Setup!I$4,K$17:P$20,5),AND(OR(Setup!I$4=Lookups!D$109,Setup!I$4=Lookups!D$112),Projections!BJ44&gt;M$15),VLOOKUP(Setup!I$4,K$17:P$20,4),AND(OR(Setup!I$4=Lookups!D$110,Setup!I$4=Lookups!D$111),Projections!BJ44&gt;M$14),VLOOKUP(Setup!I$4,K$17:P$20,4),AND(OR(Setup!I$4=Lookups!D$109,Setup!I$4=Lookups!D$112),Projections!BJ44&gt;L$15),VLOOKUP(Setup!I$4,K$17:P$20,3),AND(OR(Setup!I$4=Lookups!D$110,Setup!I$4=Lookups!D$111),Projections!BJ44&gt;L$14),VLOOKUP(Setup!I$4,K$17:P$20,3),AND(OR(Setup!I$4=Lookups!D$109,Setup!I$4=Lookups!D$112),Projections!BJ44&lt;L$15),VLOOKUP(Setup!I$4,K$17:P$20,2),AND(OR(Setup!I$4=Lookups!D$110,Setup!I$4=Lookups!D$111),Projections!BJ44&lt;L$14),VLOOKUP(Setup!I$4,K$17:P$20,2))</f>
        <v>0</v>
      </c>
      <c r="D44" s="1">
        <f>IF(Projections!AW44+Projections!BG44&gt;0,Projections!AW44+Projections!BG44-C44-VLOOKUP(Setup!I$4,K$23:L$26,2)-IF(VLOOKUP(Setup!I$4,K$31:L$34,2)&gt;Projections!AW44+Projections!BG44,IF(OR(Setup!I$4="Head of household",Setup!I$4="Married filing jointly"),2*L$29, L$29),0),0)</f>
        <v>0</v>
      </c>
      <c r="E44" s="1" cm="1">
        <f t="array" ref="E44">IF(D44&gt;0,_xlfn.IFS(Setup!I$4=Lookups!D$109,-_xlfn.IFS(D44&gt;=L$48, N$48+(D44-L$48)*O$48,D44&gt;=L$47, N$47+(D44-L$47)*O$47,D44&gt;=L$46,N$46+(D44-L$46)*O$46,D44&lt;L$46,D44*O$45),Setup!I$4=Lookups!D$110,-_xlfn.IFS(D44&gt;=L$55, N$55+(D44-L$55)*O$55,D44&gt;=L$54, N$54+(D44-L$54)*O$54,D44&gt;=L$53, N$53+(D44-L$53)*O$53,D44&lt;L$53,D44*O$52),Setup!I$4=Lookups!D$111,-_xlfn.IFS(D44&gt;=L$62, N$62+(D44-L$62)*O$62,D44&gt;=L$61, N$61+(D44-L$61)*O$61,D44&gt;=L$60, N$60+(D44-L$60)*O$60,D44&lt;L$60,D44*O$59), Setup!I$4=Lookups!D$112,-_xlfn.IFS(D44&gt;=L$69, N$69+(D44-L$69)*O$69,D44&gt;=L$68, N$68+(D44-L$68)*O$68,D44&gt;=L$67, N$67+(D44-L$67)*O$67,D44&lt;L$67,D44*O$66)),0)</f>
        <v>0</v>
      </c>
      <c r="F44" s="18">
        <f t="shared" si="4"/>
        <v>0</v>
      </c>
      <c r="G44" s="1">
        <f t="shared" si="5"/>
        <v>0</v>
      </c>
      <c r="I44" s="1"/>
      <c r="J44" s="84"/>
      <c r="K44" s="90"/>
      <c r="L44" s="114" t="s">
        <v>103</v>
      </c>
      <c r="M44" s="46" t="s">
        <v>104</v>
      </c>
      <c r="N44" s="46" t="s">
        <v>105</v>
      </c>
      <c r="O44" s="115" t="s">
        <v>106</v>
      </c>
      <c r="P44" s="88"/>
      <c r="Q44" s="88"/>
      <c r="R44" s="48"/>
      <c r="S44" s="48"/>
      <c r="T44" s="48"/>
      <c r="U44" s="48"/>
      <c r="V44" s="130"/>
    </row>
    <row r="45" spans="1:22" x14ac:dyDescent="0.3">
      <c r="A45" s="1">
        <f t="shared" si="3"/>
        <v>0</v>
      </c>
      <c r="C45" s="1" cm="1">
        <f t="array" ref="C45">_xlfn.IFS(Projections!BJ45=0,0,AND(OR(Setup!I$4=Lookups!D$109,Setup!I$4=Lookups!D$112),Projections!BJ45&gt;P$15),0,AND(OR(Setup!I$4=Lookups!D$110,Setup!I$4=Lookups!D$111),Projections!BJ45&gt;P$14),0,AND(OR(Setup!I$4=Lookups!D$109,Setup!I$4=Lookups!D$112),Projections!BJ45&gt;O$15),VLOOKUP(Setup!I$4,K$17:P$20,6),AND(OR(Setup!I$4=Lookups!D$110,Setup!I$4=Lookups!D$111),Projections!BJ45&gt;O$14),VLOOKUP(Setup!I$4,K$17:P$20,6),AND(OR(Setup!I$4=Lookups!D$109,Setup!I$4=Lookups!D$112),Projections!BJ45&gt;N$15),VLOOKUP(Setup!I$4,K$17:P$20,5),AND(OR(Setup!I$4=Lookups!D$110,Setup!I$4=Lookups!D$111),Projections!BJ45&gt;N$14),VLOOKUP(Setup!I$4,K$17:P$20,5),AND(OR(Setup!I$4=Lookups!D$109,Setup!I$4=Lookups!D$112),Projections!BJ45&gt;M$15),VLOOKUP(Setup!I$4,K$17:P$20,4),AND(OR(Setup!I$4=Lookups!D$110,Setup!I$4=Lookups!D$111),Projections!BJ45&gt;M$14),VLOOKUP(Setup!I$4,K$17:P$20,4),AND(OR(Setup!I$4=Lookups!D$109,Setup!I$4=Lookups!D$112),Projections!BJ45&gt;L$15),VLOOKUP(Setup!I$4,K$17:P$20,3),AND(OR(Setup!I$4=Lookups!D$110,Setup!I$4=Lookups!D$111),Projections!BJ45&gt;L$14),VLOOKUP(Setup!I$4,K$17:P$20,3),AND(OR(Setup!I$4=Lookups!D$109,Setup!I$4=Lookups!D$112),Projections!BJ45&lt;L$15),VLOOKUP(Setup!I$4,K$17:P$20,2),AND(OR(Setup!I$4=Lookups!D$110,Setup!I$4=Lookups!D$111),Projections!BJ45&lt;L$14),VLOOKUP(Setup!I$4,K$17:P$20,2))</f>
        <v>0</v>
      </c>
      <c r="D45" s="1">
        <f>IF(Projections!AW45+Projections!BG45&gt;0,Projections!AW45+Projections!BG45-C45-VLOOKUP(Setup!I$4,K$23:L$26,2)-IF(VLOOKUP(Setup!I$4,K$31:L$34,2)&gt;Projections!AW45+Projections!BG45,IF(OR(Setup!I$4="Head of household",Setup!I$4="Married filing jointly"),2*L$29, L$29),0),0)</f>
        <v>0</v>
      </c>
      <c r="E45" s="1" cm="1">
        <f t="array" ref="E45">IF(D45&gt;0,_xlfn.IFS(Setup!I$4=Lookups!D$109,-_xlfn.IFS(D45&gt;=L$48, N$48+(D45-L$48)*O$48,D45&gt;=L$47, N$47+(D45-L$47)*O$47,D45&gt;=L$46,N$46+(D45-L$46)*O$46,D45&lt;L$46,D45*O$45),Setup!I$4=Lookups!D$110,-_xlfn.IFS(D45&gt;=L$55, N$55+(D45-L$55)*O$55,D45&gt;=L$54, N$54+(D45-L$54)*O$54,D45&gt;=L$53, N$53+(D45-L$53)*O$53,D45&lt;L$53,D45*O$52),Setup!I$4=Lookups!D$111,-_xlfn.IFS(D45&gt;=L$62, N$62+(D45-L$62)*O$62,D45&gt;=L$61, N$61+(D45-L$61)*O$61,D45&gt;=L$60, N$60+(D45-L$60)*O$60,D45&lt;L$60,D45*O$59), Setup!I$4=Lookups!D$112,-_xlfn.IFS(D45&gt;=L$69, N$69+(D45-L$69)*O$69,D45&gt;=L$68, N$68+(D45-L$68)*O$68,D45&gt;=L$67, N$67+(D45-L$67)*O$67,D45&lt;L$67,D45*O$66)),0)</f>
        <v>0</v>
      </c>
      <c r="F45" s="18">
        <f t="shared" si="4"/>
        <v>0</v>
      </c>
      <c r="G45" s="1">
        <f t="shared" si="5"/>
        <v>0</v>
      </c>
      <c r="I45" s="1"/>
      <c r="J45" s="84"/>
      <c r="K45" s="90"/>
      <c r="L45" s="116">
        <v>0</v>
      </c>
      <c r="M45" s="95">
        <f>L38</f>
        <v>7300</v>
      </c>
      <c r="N45" s="95"/>
      <c r="O45" s="124">
        <f>L$37</f>
        <v>4.7500000000000001E-2</v>
      </c>
      <c r="P45" s="88"/>
      <c r="Q45" s="88"/>
      <c r="R45" s="48"/>
      <c r="S45" s="48"/>
      <c r="T45" s="48"/>
      <c r="U45" s="48"/>
      <c r="V45" s="130"/>
    </row>
    <row r="46" spans="1:22" x14ac:dyDescent="0.3">
      <c r="A46" s="1">
        <f t="shared" si="3"/>
        <v>0</v>
      </c>
      <c r="C46" s="1" cm="1">
        <f t="array" ref="C46">_xlfn.IFS(Projections!BJ46=0,0,AND(OR(Setup!I$4=Lookups!D$109,Setup!I$4=Lookups!D$112),Projections!BJ46&gt;P$15),0,AND(OR(Setup!I$4=Lookups!D$110,Setup!I$4=Lookups!D$111),Projections!BJ46&gt;P$14),0,AND(OR(Setup!I$4=Lookups!D$109,Setup!I$4=Lookups!D$112),Projections!BJ46&gt;O$15),VLOOKUP(Setup!I$4,K$17:P$20,6),AND(OR(Setup!I$4=Lookups!D$110,Setup!I$4=Lookups!D$111),Projections!BJ46&gt;O$14),VLOOKUP(Setup!I$4,K$17:P$20,6),AND(OR(Setup!I$4=Lookups!D$109,Setup!I$4=Lookups!D$112),Projections!BJ46&gt;N$15),VLOOKUP(Setup!I$4,K$17:P$20,5),AND(OR(Setup!I$4=Lookups!D$110,Setup!I$4=Lookups!D$111),Projections!BJ46&gt;N$14),VLOOKUP(Setup!I$4,K$17:P$20,5),AND(OR(Setup!I$4=Lookups!D$109,Setup!I$4=Lookups!D$112),Projections!BJ46&gt;M$15),VLOOKUP(Setup!I$4,K$17:P$20,4),AND(OR(Setup!I$4=Lookups!D$110,Setup!I$4=Lookups!D$111),Projections!BJ46&gt;M$14),VLOOKUP(Setup!I$4,K$17:P$20,4),AND(OR(Setup!I$4=Lookups!D$109,Setup!I$4=Lookups!D$112),Projections!BJ46&gt;L$15),VLOOKUP(Setup!I$4,K$17:P$20,3),AND(OR(Setup!I$4=Lookups!D$110,Setup!I$4=Lookups!D$111),Projections!BJ46&gt;L$14),VLOOKUP(Setup!I$4,K$17:P$20,3),AND(OR(Setup!I$4=Lookups!D$109,Setup!I$4=Lookups!D$112),Projections!BJ46&lt;L$15),VLOOKUP(Setup!I$4,K$17:P$20,2),AND(OR(Setup!I$4=Lookups!D$110,Setup!I$4=Lookups!D$111),Projections!BJ46&lt;L$14),VLOOKUP(Setup!I$4,K$17:P$20,2))</f>
        <v>0</v>
      </c>
      <c r="D46" s="1">
        <f>IF(Projections!AW46+Projections!BG46&gt;0,Projections!AW46+Projections!BG46-C46-VLOOKUP(Setup!I$4,K$23:L$26,2)-IF(VLOOKUP(Setup!I$4,K$31:L$34,2)&gt;Projections!AW46+Projections!BG46,IF(OR(Setup!I$4="Head of household",Setup!I$4="Married filing jointly"),2*L$29, L$29),0),0)</f>
        <v>0</v>
      </c>
      <c r="E46" s="1" cm="1">
        <f t="array" ref="E46">IF(D46&gt;0,_xlfn.IFS(Setup!I$4=Lookups!D$109,-_xlfn.IFS(D46&gt;=L$48, N$48+(D46-L$48)*O$48,D46&gt;=L$47, N$47+(D46-L$47)*O$47,D46&gt;=L$46,N$46+(D46-L$46)*O$46,D46&lt;L$46,D46*O$45),Setup!I$4=Lookups!D$110,-_xlfn.IFS(D46&gt;=L$55, N$55+(D46-L$55)*O$55,D46&gt;=L$54, N$54+(D46-L$54)*O$54,D46&gt;=L$53, N$53+(D46-L$53)*O$53,D46&lt;L$53,D46*O$52),Setup!I$4=Lookups!D$111,-_xlfn.IFS(D46&gt;=L$62, N$62+(D46-L$62)*O$62,D46&gt;=L$61, N$61+(D46-L$61)*O$61,D46&gt;=L$60, N$60+(D46-L$60)*O$60,D46&lt;L$60,D46*O$59), Setup!I$4=Lookups!D$112,-_xlfn.IFS(D46&gt;=L$69, N$69+(D46-L$69)*O$69,D46&gt;=L$68, N$68+(D46-L$68)*O$68,D46&gt;=L$67, N$67+(D46-L$67)*O$67,D46&lt;L$67,D46*O$66)),0)</f>
        <v>0</v>
      </c>
      <c r="F46" s="18">
        <f t="shared" si="4"/>
        <v>0</v>
      </c>
      <c r="G46" s="1">
        <f t="shared" si="5"/>
        <v>0</v>
      </c>
      <c r="I46" s="1"/>
      <c r="J46" s="84"/>
      <c r="K46" s="90"/>
      <c r="L46" s="116">
        <f>M45+1</f>
        <v>7301</v>
      </c>
      <c r="M46" s="95">
        <f>M38</f>
        <v>18400</v>
      </c>
      <c r="N46" s="95">
        <f>L$37*L41</f>
        <v>173.375</v>
      </c>
      <c r="O46" s="124">
        <f>M$37</f>
        <v>6.7500000000000004E-2</v>
      </c>
      <c r="P46" s="88"/>
      <c r="Q46" s="88"/>
      <c r="R46" s="48"/>
      <c r="S46" s="48"/>
      <c r="T46" s="48"/>
      <c r="U46" s="48"/>
      <c r="V46" s="130"/>
    </row>
    <row r="47" spans="1:22" x14ac:dyDescent="0.3">
      <c r="A47" s="1">
        <f t="shared" si="3"/>
        <v>0</v>
      </c>
      <c r="C47" s="1" cm="1">
        <f t="array" ref="C47">_xlfn.IFS(Projections!BJ47=0,0,AND(OR(Setup!I$4=Lookups!D$109,Setup!I$4=Lookups!D$112),Projections!BJ47&gt;P$15),0,AND(OR(Setup!I$4=Lookups!D$110,Setup!I$4=Lookups!D$111),Projections!BJ47&gt;P$14),0,AND(OR(Setup!I$4=Lookups!D$109,Setup!I$4=Lookups!D$112),Projections!BJ47&gt;O$15),VLOOKUP(Setup!I$4,K$17:P$20,6),AND(OR(Setup!I$4=Lookups!D$110,Setup!I$4=Lookups!D$111),Projections!BJ47&gt;O$14),VLOOKUP(Setup!I$4,K$17:P$20,6),AND(OR(Setup!I$4=Lookups!D$109,Setup!I$4=Lookups!D$112),Projections!BJ47&gt;N$15),VLOOKUP(Setup!I$4,K$17:P$20,5),AND(OR(Setup!I$4=Lookups!D$110,Setup!I$4=Lookups!D$111),Projections!BJ47&gt;N$14),VLOOKUP(Setup!I$4,K$17:P$20,5),AND(OR(Setup!I$4=Lookups!D$109,Setup!I$4=Lookups!D$112),Projections!BJ47&gt;M$15),VLOOKUP(Setup!I$4,K$17:P$20,4),AND(OR(Setup!I$4=Lookups!D$110,Setup!I$4=Lookups!D$111),Projections!BJ47&gt;M$14),VLOOKUP(Setup!I$4,K$17:P$20,4),AND(OR(Setup!I$4=Lookups!D$109,Setup!I$4=Lookups!D$112),Projections!BJ47&gt;L$15),VLOOKUP(Setup!I$4,K$17:P$20,3),AND(OR(Setup!I$4=Lookups!D$110,Setup!I$4=Lookups!D$111),Projections!BJ47&gt;L$14),VLOOKUP(Setup!I$4,K$17:P$20,3),AND(OR(Setup!I$4=Lookups!D$109,Setup!I$4=Lookups!D$112),Projections!BJ47&lt;L$15),VLOOKUP(Setup!I$4,K$17:P$20,2),AND(OR(Setup!I$4=Lookups!D$110,Setup!I$4=Lookups!D$111),Projections!BJ47&lt;L$14),VLOOKUP(Setup!I$4,K$17:P$20,2))</f>
        <v>0</v>
      </c>
      <c r="D47" s="1">
        <f>IF(Projections!AW47+Projections!BG47&gt;0,Projections!AW47+Projections!BG47-C47-VLOOKUP(Setup!I$4,K$23:L$26,2)-IF(VLOOKUP(Setup!I$4,K$31:L$34,2)&gt;Projections!AW47+Projections!BG47,IF(OR(Setup!I$4="Head of household",Setup!I$4="Married filing jointly"),2*L$29, L$29),0),0)</f>
        <v>0</v>
      </c>
      <c r="E47" s="1" cm="1">
        <f t="array" ref="E47">IF(D47&gt;0,_xlfn.IFS(Setup!I$4=Lookups!D$109,-_xlfn.IFS(D47&gt;=L$48, N$48+(D47-L$48)*O$48,D47&gt;=L$47, N$47+(D47-L$47)*O$47,D47&gt;=L$46,N$46+(D47-L$46)*O$46,D47&lt;L$46,D47*O$45),Setup!I$4=Lookups!D$110,-_xlfn.IFS(D47&gt;=L$55, N$55+(D47-L$55)*O$55,D47&gt;=L$54, N$54+(D47-L$54)*O$54,D47&gt;=L$53, N$53+(D47-L$53)*O$53,D47&lt;L$53,D47*O$52),Setup!I$4=Lookups!D$111,-_xlfn.IFS(D47&gt;=L$62, N$62+(D47-L$62)*O$62,D47&gt;=L$61, N$61+(D47-L$61)*O$61,D47&gt;=L$60, N$60+(D47-L$60)*O$60,D47&lt;L$60,D47*O$59), Setup!I$4=Lookups!D$112,-_xlfn.IFS(D47&gt;=L$69, N$69+(D47-L$69)*O$69,D47&gt;=L$68, N$68+(D47-L$68)*O$68,D47&gt;=L$67, N$67+(D47-L$67)*O$67,D47&lt;L$67,D47*O$66)),0)</f>
        <v>0</v>
      </c>
      <c r="F47" s="18">
        <f t="shared" si="4"/>
        <v>0</v>
      </c>
      <c r="G47" s="1">
        <f t="shared" si="5"/>
        <v>0</v>
      </c>
      <c r="I47" s="1"/>
      <c r="J47" s="289"/>
      <c r="K47" s="290"/>
      <c r="L47" s="116">
        <f>M46+1</f>
        <v>18401</v>
      </c>
      <c r="M47" s="95">
        <f>N38</f>
        <v>250000</v>
      </c>
      <c r="N47" s="95">
        <f>M$37*M41</f>
        <v>621</v>
      </c>
      <c r="O47" s="124">
        <f>N$37</f>
        <v>8.7499999999999994E-2</v>
      </c>
      <c r="P47" s="88"/>
      <c r="Q47" s="88"/>
      <c r="R47" s="48"/>
      <c r="S47" s="48"/>
      <c r="T47" s="48"/>
      <c r="U47" s="48"/>
      <c r="V47" s="130"/>
    </row>
    <row r="48" spans="1:22" x14ac:dyDescent="0.3">
      <c r="A48" s="1">
        <f t="shared" si="3"/>
        <v>0</v>
      </c>
      <c r="C48" s="1" cm="1">
        <f t="array" ref="C48">_xlfn.IFS(Projections!BJ48=0,0,AND(OR(Setup!I$4=Lookups!D$109,Setup!I$4=Lookups!D$112),Projections!BJ48&gt;P$15),0,AND(OR(Setup!I$4=Lookups!D$110,Setup!I$4=Lookups!D$111),Projections!BJ48&gt;P$14),0,AND(OR(Setup!I$4=Lookups!D$109,Setup!I$4=Lookups!D$112),Projections!BJ48&gt;O$15),VLOOKUP(Setup!I$4,K$17:P$20,6),AND(OR(Setup!I$4=Lookups!D$110,Setup!I$4=Lookups!D$111),Projections!BJ48&gt;O$14),VLOOKUP(Setup!I$4,K$17:P$20,6),AND(OR(Setup!I$4=Lookups!D$109,Setup!I$4=Lookups!D$112),Projections!BJ48&gt;N$15),VLOOKUP(Setup!I$4,K$17:P$20,5),AND(OR(Setup!I$4=Lookups!D$110,Setup!I$4=Lookups!D$111),Projections!BJ48&gt;N$14),VLOOKUP(Setup!I$4,K$17:P$20,5),AND(OR(Setup!I$4=Lookups!D$109,Setup!I$4=Lookups!D$112),Projections!BJ48&gt;M$15),VLOOKUP(Setup!I$4,K$17:P$20,4),AND(OR(Setup!I$4=Lookups!D$110,Setup!I$4=Lookups!D$111),Projections!BJ48&gt;M$14),VLOOKUP(Setup!I$4,K$17:P$20,4),AND(OR(Setup!I$4=Lookups!D$109,Setup!I$4=Lookups!D$112),Projections!BJ48&gt;L$15),VLOOKUP(Setup!I$4,K$17:P$20,3),AND(OR(Setup!I$4=Lookups!D$110,Setup!I$4=Lookups!D$111),Projections!BJ48&gt;L$14),VLOOKUP(Setup!I$4,K$17:P$20,3),AND(OR(Setup!I$4=Lookups!D$109,Setup!I$4=Lookups!D$112),Projections!BJ48&lt;L$15),VLOOKUP(Setup!I$4,K$17:P$20,2),AND(OR(Setup!I$4=Lookups!D$110,Setup!I$4=Lookups!D$111),Projections!BJ48&lt;L$14),VLOOKUP(Setup!I$4,K$17:P$20,2))</f>
        <v>0</v>
      </c>
      <c r="D48" s="1">
        <f>IF(Projections!AW48+Projections!BG48&gt;0,Projections!AW48+Projections!BG48-C48-VLOOKUP(Setup!I$4,K$23:L$26,2)-IF(VLOOKUP(Setup!I$4,K$31:L$34,2)&gt;Projections!AW48+Projections!BG48,IF(OR(Setup!I$4="Head of household",Setup!I$4="Married filing jointly"),2*L$29, L$29),0),0)</f>
        <v>0</v>
      </c>
      <c r="E48" s="1" cm="1">
        <f t="array" ref="E48">IF(D48&gt;0,_xlfn.IFS(Setup!I$4=Lookups!D$109,-_xlfn.IFS(D48&gt;=L$48, N$48+(D48-L$48)*O$48,D48&gt;=L$47, N$47+(D48-L$47)*O$47,D48&gt;=L$46,N$46+(D48-L$46)*O$46,D48&lt;L$46,D48*O$45),Setup!I$4=Lookups!D$110,-_xlfn.IFS(D48&gt;=L$55, N$55+(D48-L$55)*O$55,D48&gt;=L$54, N$54+(D48-L$54)*O$54,D48&gt;=L$53, N$53+(D48-L$53)*O$53,D48&lt;L$53,D48*O$52),Setup!I$4=Lookups!D$111,-_xlfn.IFS(D48&gt;=L$62, N$62+(D48-L$62)*O$62,D48&gt;=L$61, N$61+(D48-L$61)*O$61,D48&gt;=L$60, N$60+(D48-L$60)*O$60,D48&lt;L$60,D48*O$59), Setup!I$4=Lookups!D$112,-_xlfn.IFS(D48&gt;=L$69, N$69+(D48-L$69)*O$69,D48&gt;=L$68, N$68+(D48-L$68)*O$68,D48&gt;=L$67, N$67+(D48-L$67)*O$67,D48&lt;L$67,D48*O$66)),0)</f>
        <v>0</v>
      </c>
      <c r="F48" s="18">
        <f t="shared" si="4"/>
        <v>0</v>
      </c>
      <c r="G48" s="1">
        <f t="shared" si="5"/>
        <v>0</v>
      </c>
      <c r="I48" s="1"/>
      <c r="J48" s="84"/>
      <c r="K48" s="90"/>
      <c r="L48" s="118">
        <f>M47+1</f>
        <v>250001</v>
      </c>
      <c r="M48" s="119"/>
      <c r="N48" s="119">
        <f>N$37*N41</f>
        <v>10937.5</v>
      </c>
      <c r="O48" s="125">
        <f>O$37</f>
        <v>9.9000000000000005E-2</v>
      </c>
      <c r="P48" s="88"/>
      <c r="Q48" s="88"/>
      <c r="R48" s="48"/>
      <c r="S48" s="48"/>
      <c r="T48" s="48"/>
      <c r="U48" s="48"/>
      <c r="V48" s="130"/>
    </row>
    <row r="49" spans="1:22" x14ac:dyDescent="0.3">
      <c r="A49" s="1">
        <f t="shared" si="3"/>
        <v>0</v>
      </c>
      <c r="C49" s="1" cm="1">
        <f t="array" ref="C49">_xlfn.IFS(Projections!BJ49=0,0,AND(OR(Setup!I$4=Lookups!D$109,Setup!I$4=Lookups!D$112),Projections!BJ49&gt;P$15),0,AND(OR(Setup!I$4=Lookups!D$110,Setup!I$4=Lookups!D$111),Projections!BJ49&gt;P$14),0,AND(OR(Setup!I$4=Lookups!D$109,Setup!I$4=Lookups!D$112),Projections!BJ49&gt;O$15),VLOOKUP(Setup!I$4,K$17:P$20,6),AND(OR(Setup!I$4=Lookups!D$110,Setup!I$4=Lookups!D$111),Projections!BJ49&gt;O$14),VLOOKUP(Setup!I$4,K$17:P$20,6),AND(OR(Setup!I$4=Lookups!D$109,Setup!I$4=Lookups!D$112),Projections!BJ49&gt;N$15),VLOOKUP(Setup!I$4,K$17:P$20,5),AND(OR(Setup!I$4=Lookups!D$110,Setup!I$4=Lookups!D$111),Projections!BJ49&gt;N$14),VLOOKUP(Setup!I$4,K$17:P$20,5),AND(OR(Setup!I$4=Lookups!D$109,Setup!I$4=Lookups!D$112),Projections!BJ49&gt;M$15),VLOOKUP(Setup!I$4,K$17:P$20,4),AND(OR(Setup!I$4=Lookups!D$110,Setup!I$4=Lookups!D$111),Projections!BJ49&gt;M$14),VLOOKUP(Setup!I$4,K$17:P$20,4),AND(OR(Setup!I$4=Lookups!D$109,Setup!I$4=Lookups!D$112),Projections!BJ49&gt;L$15),VLOOKUP(Setup!I$4,K$17:P$20,3),AND(OR(Setup!I$4=Lookups!D$110,Setup!I$4=Lookups!D$111),Projections!BJ49&gt;L$14),VLOOKUP(Setup!I$4,K$17:P$20,3),AND(OR(Setup!I$4=Lookups!D$109,Setup!I$4=Lookups!D$112),Projections!BJ49&lt;L$15),VLOOKUP(Setup!I$4,K$17:P$20,2),AND(OR(Setup!I$4=Lookups!D$110,Setup!I$4=Lookups!D$111),Projections!BJ49&lt;L$14),VLOOKUP(Setup!I$4,K$17:P$20,2))</f>
        <v>0</v>
      </c>
      <c r="D49" s="1">
        <f>IF(Projections!AW49+Projections!BG49&gt;0,Projections!AW49+Projections!BG49-C49-VLOOKUP(Setup!I$4,K$23:L$26,2)-IF(VLOOKUP(Setup!I$4,K$31:L$34,2)&gt;Projections!AW49+Projections!BG49,IF(OR(Setup!I$4="Head of household",Setup!I$4="Married filing jointly"),2*L$29, L$29),0),0)</f>
        <v>0</v>
      </c>
      <c r="E49" s="1" cm="1">
        <f t="array" ref="E49">IF(D49&gt;0,_xlfn.IFS(Setup!I$4=Lookups!D$109,-_xlfn.IFS(D49&gt;=L$48, N$48+(D49-L$48)*O$48,D49&gt;=L$47, N$47+(D49-L$47)*O$47,D49&gt;=L$46,N$46+(D49-L$46)*O$46,D49&lt;L$46,D49*O$45),Setup!I$4=Lookups!D$110,-_xlfn.IFS(D49&gt;=L$55, N$55+(D49-L$55)*O$55,D49&gt;=L$54, N$54+(D49-L$54)*O$54,D49&gt;=L$53, N$53+(D49-L$53)*O$53,D49&lt;L$53,D49*O$52),Setup!I$4=Lookups!D$111,-_xlfn.IFS(D49&gt;=L$62, N$62+(D49-L$62)*O$62,D49&gt;=L$61, N$61+(D49-L$61)*O$61,D49&gt;=L$60, N$60+(D49-L$60)*O$60,D49&lt;L$60,D49*O$59), Setup!I$4=Lookups!D$112,-_xlfn.IFS(D49&gt;=L$69, N$69+(D49-L$69)*O$69,D49&gt;=L$68, N$68+(D49-L$68)*O$68,D49&gt;=L$67, N$67+(D49-L$67)*O$67,D49&lt;L$67,D49*O$66)),0)</f>
        <v>0</v>
      </c>
      <c r="F49" s="18">
        <f t="shared" si="4"/>
        <v>0</v>
      </c>
      <c r="G49" s="1">
        <f t="shared" si="5"/>
        <v>0</v>
      </c>
      <c r="I49" s="1"/>
      <c r="J49" s="84"/>
      <c r="K49" s="90"/>
      <c r="L49" s="91"/>
      <c r="M49" s="92"/>
      <c r="N49" s="93"/>
      <c r="O49" s="93"/>
      <c r="P49" s="88"/>
      <c r="Q49" s="88"/>
      <c r="R49" s="48"/>
      <c r="S49" s="132"/>
      <c r="T49" s="48"/>
      <c r="U49" s="48"/>
      <c r="V49" s="130"/>
    </row>
    <row r="50" spans="1:22" x14ac:dyDescent="0.3">
      <c r="A50" s="1">
        <f t="shared" si="3"/>
        <v>0</v>
      </c>
      <c r="C50" s="1" cm="1">
        <f t="array" ref="C50">_xlfn.IFS(Projections!BJ50=0,0,AND(OR(Setup!I$4=Lookups!D$109,Setup!I$4=Lookups!D$112),Projections!BJ50&gt;P$15),0,AND(OR(Setup!I$4=Lookups!D$110,Setup!I$4=Lookups!D$111),Projections!BJ50&gt;P$14),0,AND(OR(Setup!I$4=Lookups!D$109,Setup!I$4=Lookups!D$112),Projections!BJ50&gt;O$15),VLOOKUP(Setup!I$4,K$17:P$20,6),AND(OR(Setup!I$4=Lookups!D$110,Setup!I$4=Lookups!D$111),Projections!BJ50&gt;O$14),VLOOKUP(Setup!I$4,K$17:P$20,6),AND(OR(Setup!I$4=Lookups!D$109,Setup!I$4=Lookups!D$112),Projections!BJ50&gt;N$15),VLOOKUP(Setup!I$4,K$17:P$20,5),AND(OR(Setup!I$4=Lookups!D$110,Setup!I$4=Lookups!D$111),Projections!BJ50&gt;N$14),VLOOKUP(Setup!I$4,K$17:P$20,5),AND(OR(Setup!I$4=Lookups!D$109,Setup!I$4=Lookups!D$112),Projections!BJ50&gt;M$15),VLOOKUP(Setup!I$4,K$17:P$20,4),AND(OR(Setup!I$4=Lookups!D$110,Setup!I$4=Lookups!D$111),Projections!BJ50&gt;M$14),VLOOKUP(Setup!I$4,K$17:P$20,4),AND(OR(Setup!I$4=Lookups!D$109,Setup!I$4=Lookups!D$112),Projections!BJ50&gt;L$15),VLOOKUP(Setup!I$4,K$17:P$20,3),AND(OR(Setup!I$4=Lookups!D$110,Setup!I$4=Lookups!D$111),Projections!BJ50&gt;L$14),VLOOKUP(Setup!I$4,K$17:P$20,3),AND(OR(Setup!I$4=Lookups!D$109,Setup!I$4=Lookups!D$112),Projections!BJ50&lt;L$15),VLOOKUP(Setup!I$4,K$17:P$20,2),AND(OR(Setup!I$4=Lookups!D$110,Setup!I$4=Lookups!D$111),Projections!BJ50&lt;L$14),VLOOKUP(Setup!I$4,K$17:P$20,2))</f>
        <v>0</v>
      </c>
      <c r="D50" s="1">
        <f>IF(Projections!AW50+Projections!BG50&gt;0,Projections!AW50+Projections!BG50-C50-VLOOKUP(Setup!I$4,K$23:L$26,2)-IF(VLOOKUP(Setup!I$4,K$31:L$34,2)&gt;Projections!AW50+Projections!BG50,IF(OR(Setup!I$4="Head of household",Setup!I$4="Married filing jointly"),2*L$29, L$29),0),0)</f>
        <v>0</v>
      </c>
      <c r="E50" s="1" cm="1">
        <f t="array" ref="E50">IF(D50&gt;0,_xlfn.IFS(Setup!I$4=Lookups!D$109,-_xlfn.IFS(D50&gt;=L$48, N$48+(D50-L$48)*O$48,D50&gt;=L$47, N$47+(D50-L$47)*O$47,D50&gt;=L$46,N$46+(D50-L$46)*O$46,D50&lt;L$46,D50*O$45),Setup!I$4=Lookups!D$110,-_xlfn.IFS(D50&gt;=L$55, N$55+(D50-L$55)*O$55,D50&gt;=L$54, N$54+(D50-L$54)*O$54,D50&gt;=L$53, N$53+(D50-L$53)*O$53,D50&lt;L$53,D50*O$52),Setup!I$4=Lookups!D$111,-_xlfn.IFS(D50&gt;=L$62, N$62+(D50-L$62)*O$62,D50&gt;=L$61, N$61+(D50-L$61)*O$61,D50&gt;=L$60, N$60+(D50-L$60)*O$60,D50&lt;L$60,D50*O$59), Setup!I$4=Lookups!D$112,-_xlfn.IFS(D50&gt;=L$69, N$69+(D50-L$69)*O$69,D50&gt;=L$68, N$68+(D50-L$68)*O$68,D50&gt;=L$67, N$67+(D50-L$67)*O$67,D50&lt;L$67,D50*O$66)),0)</f>
        <v>0</v>
      </c>
      <c r="F50" s="18">
        <f t="shared" si="4"/>
        <v>0</v>
      </c>
      <c r="G50" s="1">
        <f t="shared" si="5"/>
        <v>0</v>
      </c>
      <c r="I50" s="1"/>
      <c r="J50" s="84"/>
      <c r="K50" s="90"/>
      <c r="L50" s="111" t="s">
        <v>64</v>
      </c>
      <c r="M50" s="112"/>
      <c r="N50" s="112"/>
      <c r="O50" s="113"/>
      <c r="P50" s="88"/>
      <c r="Q50" s="88"/>
      <c r="R50" s="48"/>
      <c r="T50" s="48"/>
      <c r="U50" s="48"/>
      <c r="V50" s="130"/>
    </row>
    <row r="51" spans="1:22" x14ac:dyDescent="0.3">
      <c r="A51" s="1">
        <f t="shared" si="3"/>
        <v>0</v>
      </c>
      <c r="C51" s="1" cm="1">
        <f t="array" ref="C51">_xlfn.IFS(Projections!BJ51=0,0,AND(OR(Setup!I$4=Lookups!D$109,Setup!I$4=Lookups!D$112),Projections!BJ51&gt;P$15),0,AND(OR(Setup!I$4=Lookups!D$110,Setup!I$4=Lookups!D$111),Projections!BJ51&gt;P$14),0,AND(OR(Setup!I$4=Lookups!D$109,Setup!I$4=Lookups!D$112),Projections!BJ51&gt;O$15),VLOOKUP(Setup!I$4,K$17:P$20,6),AND(OR(Setup!I$4=Lookups!D$110,Setup!I$4=Lookups!D$111),Projections!BJ51&gt;O$14),VLOOKUP(Setup!I$4,K$17:P$20,6),AND(OR(Setup!I$4=Lookups!D$109,Setup!I$4=Lookups!D$112),Projections!BJ51&gt;N$15),VLOOKUP(Setup!I$4,K$17:P$20,5),AND(OR(Setup!I$4=Lookups!D$110,Setup!I$4=Lookups!D$111),Projections!BJ51&gt;N$14),VLOOKUP(Setup!I$4,K$17:P$20,5),AND(OR(Setup!I$4=Lookups!D$109,Setup!I$4=Lookups!D$112),Projections!BJ51&gt;M$15),VLOOKUP(Setup!I$4,K$17:P$20,4),AND(OR(Setup!I$4=Lookups!D$110,Setup!I$4=Lookups!D$111),Projections!BJ51&gt;M$14),VLOOKUP(Setup!I$4,K$17:P$20,4),AND(OR(Setup!I$4=Lookups!D$109,Setup!I$4=Lookups!D$112),Projections!BJ51&gt;L$15),VLOOKUP(Setup!I$4,K$17:P$20,3),AND(OR(Setup!I$4=Lookups!D$110,Setup!I$4=Lookups!D$111),Projections!BJ51&gt;L$14),VLOOKUP(Setup!I$4,K$17:P$20,3),AND(OR(Setup!I$4=Lookups!D$109,Setup!I$4=Lookups!D$112),Projections!BJ51&lt;L$15),VLOOKUP(Setup!I$4,K$17:P$20,2),AND(OR(Setup!I$4=Lookups!D$110,Setup!I$4=Lookups!D$111),Projections!BJ51&lt;L$14),VLOOKUP(Setup!I$4,K$17:P$20,2))</f>
        <v>0</v>
      </c>
      <c r="D51" s="1">
        <f>IF(Projections!AW51+Projections!BG51&gt;0,Projections!AW51+Projections!BG51-C51-VLOOKUP(Setup!I$4,K$23:L$26,2)-IF(VLOOKUP(Setup!I$4,K$31:L$34,2)&gt;Projections!AW51+Projections!BG51,IF(OR(Setup!I$4="Head of household",Setup!I$4="Married filing jointly"),2*L$29, L$29),0),0)</f>
        <v>0</v>
      </c>
      <c r="E51" s="1" cm="1">
        <f t="array" ref="E51">IF(D51&gt;0,_xlfn.IFS(Setup!I$4=Lookups!D$109,-_xlfn.IFS(D51&gt;=L$48, N$48+(D51-L$48)*O$48,D51&gt;=L$47, N$47+(D51-L$47)*O$47,D51&gt;=L$46,N$46+(D51-L$46)*O$46,D51&lt;L$46,D51*O$45),Setup!I$4=Lookups!D$110,-_xlfn.IFS(D51&gt;=L$55, N$55+(D51-L$55)*O$55,D51&gt;=L$54, N$54+(D51-L$54)*O$54,D51&gt;=L$53, N$53+(D51-L$53)*O$53,D51&lt;L$53,D51*O$52),Setup!I$4=Lookups!D$111,-_xlfn.IFS(D51&gt;=L$62, N$62+(D51-L$62)*O$62,D51&gt;=L$61, N$61+(D51-L$61)*O$61,D51&gt;=L$60, N$60+(D51-L$60)*O$60,D51&lt;L$60,D51*O$59), Setup!I$4=Lookups!D$112,-_xlfn.IFS(D51&gt;=L$69, N$69+(D51-L$69)*O$69,D51&gt;=L$68, N$68+(D51-L$68)*O$68,D51&gt;=L$67, N$67+(D51-L$67)*O$67,D51&lt;L$67,D51*O$66)),0)</f>
        <v>0</v>
      </c>
      <c r="F51" s="18">
        <f t="shared" si="4"/>
        <v>0</v>
      </c>
      <c r="G51" s="1">
        <f t="shared" si="5"/>
        <v>0</v>
      </c>
      <c r="I51" s="1"/>
      <c r="J51" s="84"/>
      <c r="K51" s="90"/>
      <c r="L51" s="114" t="s">
        <v>103</v>
      </c>
      <c r="M51" s="46" t="s">
        <v>104</v>
      </c>
      <c r="N51" s="46" t="s">
        <v>105</v>
      </c>
      <c r="O51" s="115" t="s">
        <v>106</v>
      </c>
      <c r="P51" s="88"/>
      <c r="Q51" s="88"/>
      <c r="R51" s="48"/>
      <c r="S51" s="133"/>
      <c r="T51" s="48"/>
      <c r="U51" s="48"/>
      <c r="V51" s="130"/>
    </row>
    <row r="52" spans="1:22" x14ac:dyDescent="0.3">
      <c r="A52" s="1">
        <f t="shared" si="3"/>
        <v>0</v>
      </c>
      <c r="C52" s="1" cm="1">
        <f t="array" ref="C52">_xlfn.IFS(Projections!BJ52=0,0,AND(OR(Setup!I$4=Lookups!D$109,Setup!I$4=Lookups!D$112),Projections!BJ52&gt;P$15),0,AND(OR(Setup!I$4=Lookups!D$110,Setup!I$4=Lookups!D$111),Projections!BJ52&gt;P$14),0,AND(OR(Setup!I$4=Lookups!D$109,Setup!I$4=Lookups!D$112),Projections!BJ52&gt;O$15),VLOOKUP(Setup!I$4,K$17:P$20,6),AND(OR(Setup!I$4=Lookups!D$110,Setup!I$4=Lookups!D$111),Projections!BJ52&gt;O$14),VLOOKUP(Setup!I$4,K$17:P$20,6),AND(OR(Setup!I$4=Lookups!D$109,Setup!I$4=Lookups!D$112),Projections!BJ52&gt;N$15),VLOOKUP(Setup!I$4,K$17:P$20,5),AND(OR(Setup!I$4=Lookups!D$110,Setup!I$4=Lookups!D$111),Projections!BJ52&gt;N$14),VLOOKUP(Setup!I$4,K$17:P$20,5),AND(OR(Setup!I$4=Lookups!D$109,Setup!I$4=Lookups!D$112),Projections!BJ52&gt;M$15),VLOOKUP(Setup!I$4,K$17:P$20,4),AND(OR(Setup!I$4=Lookups!D$110,Setup!I$4=Lookups!D$111),Projections!BJ52&gt;M$14),VLOOKUP(Setup!I$4,K$17:P$20,4),AND(OR(Setup!I$4=Lookups!D$109,Setup!I$4=Lookups!D$112),Projections!BJ52&gt;L$15),VLOOKUP(Setup!I$4,K$17:P$20,3),AND(OR(Setup!I$4=Lookups!D$110,Setup!I$4=Lookups!D$111),Projections!BJ52&gt;L$14),VLOOKUP(Setup!I$4,K$17:P$20,3),AND(OR(Setup!I$4=Lookups!D$109,Setup!I$4=Lookups!D$112),Projections!BJ52&lt;L$15),VLOOKUP(Setup!I$4,K$17:P$20,2),AND(OR(Setup!I$4=Lookups!D$110,Setup!I$4=Lookups!D$111),Projections!BJ52&lt;L$14),VLOOKUP(Setup!I$4,K$17:P$20,2))</f>
        <v>0</v>
      </c>
      <c r="D52" s="1">
        <f>IF(Projections!AW52+Projections!BG52&gt;0,Projections!AW52+Projections!BG52-C52-VLOOKUP(Setup!I$4,K$23:L$26,2)-IF(VLOOKUP(Setup!I$4,K$31:L$34,2)&gt;Projections!AW52+Projections!BG52,IF(OR(Setup!I$4="Head of household",Setup!I$4="Married filing jointly"),2*L$29, L$29),0),0)</f>
        <v>0</v>
      </c>
      <c r="E52" s="1" cm="1">
        <f t="array" ref="E52">IF(D52&gt;0,_xlfn.IFS(Setup!I$4=Lookups!D$109,-_xlfn.IFS(D52&gt;=L$48, N$48+(D52-L$48)*O$48,D52&gt;=L$47, N$47+(D52-L$47)*O$47,D52&gt;=L$46,N$46+(D52-L$46)*O$46,D52&lt;L$46,D52*O$45),Setup!I$4=Lookups!D$110,-_xlfn.IFS(D52&gt;=L$55, N$55+(D52-L$55)*O$55,D52&gt;=L$54, N$54+(D52-L$54)*O$54,D52&gt;=L$53, N$53+(D52-L$53)*O$53,D52&lt;L$53,D52*O$52),Setup!I$4=Lookups!D$111,-_xlfn.IFS(D52&gt;=L$62, N$62+(D52-L$62)*O$62,D52&gt;=L$61, N$61+(D52-L$61)*O$61,D52&gt;=L$60, N$60+(D52-L$60)*O$60,D52&lt;L$60,D52*O$59), Setup!I$4=Lookups!D$112,-_xlfn.IFS(D52&gt;=L$69, N$69+(D52-L$69)*O$69,D52&gt;=L$68, N$68+(D52-L$68)*O$68,D52&gt;=L$67, N$67+(D52-L$67)*O$67,D52&lt;L$67,D52*O$66)),0)</f>
        <v>0</v>
      </c>
      <c r="F52" s="18">
        <f t="shared" si="4"/>
        <v>0</v>
      </c>
      <c r="G52" s="1">
        <f t="shared" si="5"/>
        <v>0</v>
      </c>
      <c r="I52" s="1"/>
      <c r="J52" s="84"/>
      <c r="K52" s="90"/>
      <c r="L52" s="116">
        <v>0</v>
      </c>
      <c r="M52" s="95">
        <f>L39</f>
        <v>7300</v>
      </c>
      <c r="N52" s="95"/>
      <c r="O52" s="124">
        <f>L$37</f>
        <v>4.7500000000000001E-2</v>
      </c>
      <c r="P52" s="88"/>
      <c r="Q52" s="88"/>
      <c r="R52" s="48"/>
      <c r="S52" s="48"/>
      <c r="T52" s="48"/>
      <c r="U52" s="48"/>
      <c r="V52" s="130"/>
    </row>
    <row r="53" spans="1:22" x14ac:dyDescent="0.3">
      <c r="A53" s="1">
        <f t="shared" si="3"/>
        <v>0</v>
      </c>
      <c r="C53" s="1" cm="1">
        <f t="array" ref="C53">_xlfn.IFS(Projections!BJ53=0,0,AND(OR(Setup!I$4=Lookups!D$109,Setup!I$4=Lookups!D$112),Projections!BJ53&gt;P$15),0,AND(OR(Setup!I$4=Lookups!D$110,Setup!I$4=Lookups!D$111),Projections!BJ53&gt;P$14),0,AND(OR(Setup!I$4=Lookups!D$109,Setup!I$4=Lookups!D$112),Projections!BJ53&gt;O$15),VLOOKUP(Setup!I$4,K$17:P$20,6),AND(OR(Setup!I$4=Lookups!D$110,Setup!I$4=Lookups!D$111),Projections!BJ53&gt;O$14),VLOOKUP(Setup!I$4,K$17:P$20,6),AND(OR(Setup!I$4=Lookups!D$109,Setup!I$4=Lookups!D$112),Projections!BJ53&gt;N$15),VLOOKUP(Setup!I$4,K$17:P$20,5),AND(OR(Setup!I$4=Lookups!D$110,Setup!I$4=Lookups!D$111),Projections!BJ53&gt;N$14),VLOOKUP(Setup!I$4,K$17:P$20,5),AND(OR(Setup!I$4=Lookups!D$109,Setup!I$4=Lookups!D$112),Projections!BJ53&gt;M$15),VLOOKUP(Setup!I$4,K$17:P$20,4),AND(OR(Setup!I$4=Lookups!D$110,Setup!I$4=Lookups!D$111),Projections!BJ53&gt;M$14),VLOOKUP(Setup!I$4,K$17:P$20,4),AND(OR(Setup!I$4=Lookups!D$109,Setup!I$4=Lookups!D$112),Projections!BJ53&gt;L$15),VLOOKUP(Setup!I$4,K$17:P$20,3),AND(OR(Setup!I$4=Lookups!D$110,Setup!I$4=Lookups!D$111),Projections!BJ53&gt;L$14),VLOOKUP(Setup!I$4,K$17:P$20,3),AND(OR(Setup!I$4=Lookups!D$109,Setup!I$4=Lookups!D$112),Projections!BJ53&lt;L$15),VLOOKUP(Setup!I$4,K$17:P$20,2),AND(OR(Setup!I$4=Lookups!D$110,Setup!I$4=Lookups!D$111),Projections!BJ53&lt;L$14),VLOOKUP(Setup!I$4,K$17:P$20,2))</f>
        <v>0</v>
      </c>
      <c r="D53" s="1">
        <f>IF(Projections!AW53+Projections!BG53&gt;0,Projections!AW53+Projections!BG53-C53-VLOOKUP(Setup!I$4,K$23:L$26,2)-IF(VLOOKUP(Setup!I$4,K$31:L$34,2)&gt;Projections!AW53+Projections!BG53,IF(OR(Setup!I$4="Head of household",Setup!I$4="Married filing jointly"),2*L$29, L$29),0),0)</f>
        <v>0</v>
      </c>
      <c r="E53" s="1" cm="1">
        <f t="array" ref="E53">IF(D53&gt;0,_xlfn.IFS(Setup!I$4=Lookups!D$109,-_xlfn.IFS(D53&gt;=L$48, N$48+(D53-L$48)*O$48,D53&gt;=L$47, N$47+(D53-L$47)*O$47,D53&gt;=L$46,N$46+(D53-L$46)*O$46,D53&lt;L$46,D53*O$45),Setup!I$4=Lookups!D$110,-_xlfn.IFS(D53&gt;=L$55, N$55+(D53-L$55)*O$55,D53&gt;=L$54, N$54+(D53-L$54)*O$54,D53&gt;=L$53, N$53+(D53-L$53)*O$53,D53&lt;L$53,D53*O$52),Setup!I$4=Lookups!D$111,-_xlfn.IFS(D53&gt;=L$62, N$62+(D53-L$62)*O$62,D53&gt;=L$61, N$61+(D53-L$61)*O$61,D53&gt;=L$60, N$60+(D53-L$60)*O$60,D53&lt;L$60,D53*O$59), Setup!I$4=Lookups!D$112,-_xlfn.IFS(D53&gt;=L$69, N$69+(D53-L$69)*O$69,D53&gt;=L$68, N$68+(D53-L$68)*O$68,D53&gt;=L$67, N$67+(D53-L$67)*O$67,D53&lt;L$67,D53*O$66)),0)</f>
        <v>0</v>
      </c>
      <c r="F53" s="18">
        <f t="shared" si="4"/>
        <v>0</v>
      </c>
      <c r="G53" s="1">
        <f t="shared" si="5"/>
        <v>0</v>
      </c>
      <c r="I53" s="1"/>
      <c r="J53" s="84"/>
      <c r="K53" s="90"/>
      <c r="L53" s="116">
        <f>M52+1</f>
        <v>7301</v>
      </c>
      <c r="M53" s="95">
        <f>M39</f>
        <v>18400</v>
      </c>
      <c r="N53" s="95">
        <f>L$37*L39</f>
        <v>346.75</v>
      </c>
      <c r="O53" s="124">
        <f>M$37</f>
        <v>6.7500000000000004E-2</v>
      </c>
      <c r="P53" s="88"/>
      <c r="Q53" s="88"/>
      <c r="R53" s="48"/>
      <c r="S53" s="48"/>
      <c r="T53" s="48"/>
      <c r="U53" s="48"/>
      <c r="V53" s="130"/>
    </row>
    <row r="54" spans="1:22" x14ac:dyDescent="0.3">
      <c r="A54" s="1">
        <f t="shared" si="3"/>
        <v>0</v>
      </c>
      <c r="C54" s="1" cm="1">
        <f t="array" ref="C54">_xlfn.IFS(Projections!BJ54=0,0,AND(OR(Setup!I$4=Lookups!D$109,Setup!I$4=Lookups!D$112),Projections!BJ54&gt;P$15),0,AND(OR(Setup!I$4=Lookups!D$110,Setup!I$4=Lookups!D$111),Projections!BJ54&gt;P$14),0,AND(OR(Setup!I$4=Lookups!D$109,Setup!I$4=Lookups!D$112),Projections!BJ54&gt;O$15),VLOOKUP(Setup!I$4,K$17:P$20,6),AND(OR(Setup!I$4=Lookups!D$110,Setup!I$4=Lookups!D$111),Projections!BJ54&gt;O$14),VLOOKUP(Setup!I$4,K$17:P$20,6),AND(OR(Setup!I$4=Lookups!D$109,Setup!I$4=Lookups!D$112),Projections!BJ54&gt;N$15),VLOOKUP(Setup!I$4,K$17:P$20,5),AND(OR(Setup!I$4=Lookups!D$110,Setup!I$4=Lookups!D$111),Projections!BJ54&gt;N$14),VLOOKUP(Setup!I$4,K$17:P$20,5),AND(OR(Setup!I$4=Lookups!D$109,Setup!I$4=Lookups!D$112),Projections!BJ54&gt;M$15),VLOOKUP(Setup!I$4,K$17:P$20,4),AND(OR(Setup!I$4=Lookups!D$110,Setup!I$4=Lookups!D$111),Projections!BJ54&gt;M$14),VLOOKUP(Setup!I$4,K$17:P$20,4),AND(OR(Setup!I$4=Lookups!D$109,Setup!I$4=Lookups!D$112),Projections!BJ54&gt;L$15),VLOOKUP(Setup!I$4,K$17:P$20,3),AND(OR(Setup!I$4=Lookups!D$110,Setup!I$4=Lookups!D$111),Projections!BJ54&gt;L$14),VLOOKUP(Setup!I$4,K$17:P$20,3),AND(OR(Setup!I$4=Lookups!D$109,Setup!I$4=Lookups!D$112),Projections!BJ54&lt;L$15),VLOOKUP(Setup!I$4,K$17:P$20,2),AND(OR(Setup!I$4=Lookups!D$110,Setup!I$4=Lookups!D$111),Projections!BJ54&lt;L$14),VLOOKUP(Setup!I$4,K$17:P$20,2))</f>
        <v>0</v>
      </c>
      <c r="D54" s="1">
        <f>IF(Projections!AW54+Projections!BG54&gt;0,Projections!AW54+Projections!BG54-C54-VLOOKUP(Setup!I$4,K$23:L$26,2)-IF(VLOOKUP(Setup!I$4,K$31:L$34,2)&gt;Projections!AW54+Projections!BG54,IF(OR(Setup!I$4="Head of household",Setup!I$4="Married filing jointly"),2*L$29, L$29),0),0)</f>
        <v>0</v>
      </c>
      <c r="E54" s="1" cm="1">
        <f t="array" ref="E54">IF(D54&gt;0,_xlfn.IFS(Setup!I$4=Lookups!D$109,-_xlfn.IFS(D54&gt;=L$48, N$48+(D54-L$48)*O$48,D54&gt;=L$47, N$47+(D54-L$47)*O$47,D54&gt;=L$46,N$46+(D54-L$46)*O$46,D54&lt;L$46,D54*O$45),Setup!I$4=Lookups!D$110,-_xlfn.IFS(D54&gt;=L$55, N$55+(D54-L$55)*O$55,D54&gt;=L$54, N$54+(D54-L$54)*O$54,D54&gt;=L$53, N$53+(D54-L$53)*O$53,D54&lt;L$53,D54*O$52),Setup!I$4=Lookups!D$111,-_xlfn.IFS(D54&gt;=L$62, N$62+(D54-L$62)*O$62,D54&gt;=L$61, N$61+(D54-L$61)*O$61,D54&gt;=L$60, N$60+(D54-L$60)*O$60,D54&lt;L$60,D54*O$59), Setup!I$4=Lookups!D$112,-_xlfn.IFS(D54&gt;=L$69, N$69+(D54-L$69)*O$69,D54&gt;=L$68, N$68+(D54-L$68)*O$68,D54&gt;=L$67, N$67+(D54-L$67)*O$67,D54&lt;L$67,D54*O$66)),0)</f>
        <v>0</v>
      </c>
      <c r="F54" s="18">
        <f t="shared" si="4"/>
        <v>0</v>
      </c>
      <c r="G54" s="1">
        <f t="shared" si="5"/>
        <v>0</v>
      </c>
      <c r="I54" s="1"/>
      <c r="J54" s="84"/>
      <c r="K54" s="90"/>
      <c r="L54" s="116">
        <f>M53+1</f>
        <v>18401</v>
      </c>
      <c r="M54" s="95">
        <f>N39</f>
        <v>250000</v>
      </c>
      <c r="N54" s="95">
        <f>M$37*M39</f>
        <v>1242</v>
      </c>
      <c r="O54" s="124">
        <f>N$37</f>
        <v>8.7499999999999994E-2</v>
      </c>
      <c r="P54" s="88"/>
      <c r="Q54" s="88"/>
      <c r="R54" s="48"/>
      <c r="S54" s="48"/>
      <c r="T54" s="48"/>
      <c r="U54" s="48"/>
      <c r="V54" s="130"/>
    </row>
    <row r="55" spans="1:22" x14ac:dyDescent="0.3">
      <c r="A55" s="1">
        <f t="shared" si="3"/>
        <v>0</v>
      </c>
      <c r="C55" s="1" cm="1">
        <f t="array" ref="C55">_xlfn.IFS(Projections!BJ55=0,0,AND(OR(Setup!I$4=Lookups!D$109,Setup!I$4=Lookups!D$112),Projections!BJ55&gt;P$15),0,AND(OR(Setup!I$4=Lookups!D$110,Setup!I$4=Lookups!D$111),Projections!BJ55&gt;P$14),0,AND(OR(Setup!I$4=Lookups!D$109,Setup!I$4=Lookups!D$112),Projections!BJ55&gt;O$15),VLOOKUP(Setup!I$4,K$17:P$20,6),AND(OR(Setup!I$4=Lookups!D$110,Setup!I$4=Lookups!D$111),Projections!BJ55&gt;O$14),VLOOKUP(Setup!I$4,K$17:P$20,6),AND(OR(Setup!I$4=Lookups!D$109,Setup!I$4=Lookups!D$112),Projections!BJ55&gt;N$15),VLOOKUP(Setup!I$4,K$17:P$20,5),AND(OR(Setup!I$4=Lookups!D$110,Setup!I$4=Lookups!D$111),Projections!BJ55&gt;N$14),VLOOKUP(Setup!I$4,K$17:P$20,5),AND(OR(Setup!I$4=Lookups!D$109,Setup!I$4=Lookups!D$112),Projections!BJ55&gt;M$15),VLOOKUP(Setup!I$4,K$17:P$20,4),AND(OR(Setup!I$4=Lookups!D$110,Setup!I$4=Lookups!D$111),Projections!BJ55&gt;M$14),VLOOKUP(Setup!I$4,K$17:P$20,4),AND(OR(Setup!I$4=Lookups!D$109,Setup!I$4=Lookups!D$112),Projections!BJ55&gt;L$15),VLOOKUP(Setup!I$4,K$17:P$20,3),AND(OR(Setup!I$4=Lookups!D$110,Setup!I$4=Lookups!D$111),Projections!BJ55&gt;L$14),VLOOKUP(Setup!I$4,K$17:P$20,3),AND(OR(Setup!I$4=Lookups!D$109,Setup!I$4=Lookups!D$112),Projections!BJ55&lt;L$15),VLOOKUP(Setup!I$4,K$17:P$20,2),AND(OR(Setup!I$4=Lookups!D$110,Setup!I$4=Lookups!D$111),Projections!BJ55&lt;L$14),VLOOKUP(Setup!I$4,K$17:P$20,2))</f>
        <v>0</v>
      </c>
      <c r="D55" s="1">
        <f>IF(Projections!AW55+Projections!BG55&gt;0,Projections!AW55+Projections!BG55-C55-VLOOKUP(Setup!I$4,K$23:L$26,2)-IF(VLOOKUP(Setup!I$4,K$31:L$34,2)&gt;Projections!AW55+Projections!BG55,IF(OR(Setup!I$4="Head of household",Setup!I$4="Married filing jointly"),2*L$29, L$29),0),0)</f>
        <v>0</v>
      </c>
      <c r="E55" s="1" cm="1">
        <f t="array" ref="E55">IF(D55&gt;0,_xlfn.IFS(Setup!I$4=Lookups!D$109,-_xlfn.IFS(D55&gt;=L$48, N$48+(D55-L$48)*O$48,D55&gt;=L$47, N$47+(D55-L$47)*O$47,D55&gt;=L$46,N$46+(D55-L$46)*O$46,D55&lt;L$46,D55*O$45),Setup!I$4=Lookups!D$110,-_xlfn.IFS(D55&gt;=L$55, N$55+(D55-L$55)*O$55,D55&gt;=L$54, N$54+(D55-L$54)*O$54,D55&gt;=L$53, N$53+(D55-L$53)*O$53,D55&lt;L$53,D55*O$52),Setup!I$4=Lookups!D$111,-_xlfn.IFS(D55&gt;=L$62, N$62+(D55-L$62)*O$62,D55&gt;=L$61, N$61+(D55-L$61)*O$61,D55&gt;=L$60, N$60+(D55-L$60)*O$60,D55&lt;L$60,D55*O$59), Setup!I$4=Lookups!D$112,-_xlfn.IFS(D55&gt;=L$69, N$69+(D55-L$69)*O$69,D55&gt;=L$68, N$68+(D55-L$68)*O$68,D55&gt;=L$67, N$67+(D55-L$67)*O$67,D55&lt;L$67,D55*O$66)),0)</f>
        <v>0</v>
      </c>
      <c r="F55" s="18">
        <f t="shared" si="4"/>
        <v>0</v>
      </c>
      <c r="G55" s="1">
        <f t="shared" si="5"/>
        <v>0</v>
      </c>
      <c r="I55" s="1"/>
      <c r="J55" s="84"/>
      <c r="K55" s="90"/>
      <c r="L55" s="118">
        <f>M54+1</f>
        <v>250001</v>
      </c>
      <c r="M55" s="119"/>
      <c r="N55" s="119">
        <f>N$37*N39</f>
        <v>21875</v>
      </c>
      <c r="O55" s="125">
        <f>O$37</f>
        <v>9.9000000000000005E-2</v>
      </c>
      <c r="P55" s="88"/>
      <c r="Q55" s="88"/>
      <c r="R55" s="48"/>
      <c r="S55" s="48"/>
      <c r="T55" s="48"/>
      <c r="U55" s="48"/>
      <c r="V55" s="130"/>
    </row>
    <row r="56" spans="1:22" x14ac:dyDescent="0.3">
      <c r="A56" s="1">
        <f t="shared" si="3"/>
        <v>0</v>
      </c>
      <c r="C56" s="1" cm="1">
        <f t="array" ref="C56">_xlfn.IFS(Projections!BJ56=0,0,AND(OR(Setup!I$4=Lookups!D$109,Setup!I$4=Lookups!D$112),Projections!BJ56&gt;P$15),0,AND(OR(Setup!I$4=Lookups!D$110,Setup!I$4=Lookups!D$111),Projections!BJ56&gt;P$14),0,AND(OR(Setup!I$4=Lookups!D$109,Setup!I$4=Lookups!D$112),Projections!BJ56&gt;O$15),VLOOKUP(Setup!I$4,K$17:P$20,6),AND(OR(Setup!I$4=Lookups!D$110,Setup!I$4=Lookups!D$111),Projections!BJ56&gt;O$14),VLOOKUP(Setup!I$4,K$17:P$20,6),AND(OR(Setup!I$4=Lookups!D$109,Setup!I$4=Lookups!D$112),Projections!BJ56&gt;N$15),VLOOKUP(Setup!I$4,K$17:P$20,5),AND(OR(Setup!I$4=Lookups!D$110,Setup!I$4=Lookups!D$111),Projections!BJ56&gt;N$14),VLOOKUP(Setup!I$4,K$17:P$20,5),AND(OR(Setup!I$4=Lookups!D$109,Setup!I$4=Lookups!D$112),Projections!BJ56&gt;M$15),VLOOKUP(Setup!I$4,K$17:P$20,4),AND(OR(Setup!I$4=Lookups!D$110,Setup!I$4=Lookups!D$111),Projections!BJ56&gt;M$14),VLOOKUP(Setup!I$4,K$17:P$20,4),AND(OR(Setup!I$4=Lookups!D$109,Setup!I$4=Lookups!D$112),Projections!BJ56&gt;L$15),VLOOKUP(Setup!I$4,K$17:P$20,3),AND(OR(Setup!I$4=Lookups!D$110,Setup!I$4=Lookups!D$111),Projections!BJ56&gt;L$14),VLOOKUP(Setup!I$4,K$17:P$20,3),AND(OR(Setup!I$4=Lookups!D$109,Setup!I$4=Lookups!D$112),Projections!BJ56&lt;L$15),VLOOKUP(Setup!I$4,K$17:P$20,2),AND(OR(Setup!I$4=Lookups!D$110,Setup!I$4=Lookups!D$111),Projections!BJ56&lt;L$14),VLOOKUP(Setup!I$4,K$17:P$20,2))</f>
        <v>0</v>
      </c>
      <c r="D56" s="1">
        <f>IF(Projections!AW56+Projections!BG56&gt;0,Projections!AW56+Projections!BG56-C56-VLOOKUP(Setup!I$4,K$23:L$26,2)-IF(VLOOKUP(Setup!I$4,K$31:L$34,2)&gt;Projections!AW56+Projections!BG56,IF(OR(Setup!I$4="Head of household",Setup!I$4="Married filing jointly"),2*L$29, L$29),0),0)</f>
        <v>0</v>
      </c>
      <c r="E56" s="1" cm="1">
        <f t="array" ref="E56">IF(D56&gt;0,_xlfn.IFS(Setup!I$4=Lookups!D$109,-_xlfn.IFS(D56&gt;=L$48, N$48+(D56-L$48)*O$48,D56&gt;=L$47, N$47+(D56-L$47)*O$47,D56&gt;=L$46,N$46+(D56-L$46)*O$46,D56&lt;L$46,D56*O$45),Setup!I$4=Lookups!D$110,-_xlfn.IFS(D56&gt;=L$55, N$55+(D56-L$55)*O$55,D56&gt;=L$54, N$54+(D56-L$54)*O$54,D56&gt;=L$53, N$53+(D56-L$53)*O$53,D56&lt;L$53,D56*O$52),Setup!I$4=Lookups!D$111,-_xlfn.IFS(D56&gt;=L$62, N$62+(D56-L$62)*O$62,D56&gt;=L$61, N$61+(D56-L$61)*O$61,D56&gt;=L$60, N$60+(D56-L$60)*O$60,D56&lt;L$60,D56*O$59), Setup!I$4=Lookups!D$112,-_xlfn.IFS(D56&gt;=L$69, N$69+(D56-L$69)*O$69,D56&gt;=L$68, N$68+(D56-L$68)*O$68,D56&gt;=L$67, N$67+(D56-L$67)*O$67,D56&lt;L$67,D56*O$66)),0)</f>
        <v>0</v>
      </c>
      <c r="F56" s="18">
        <f t="shared" si="4"/>
        <v>0</v>
      </c>
      <c r="G56" s="1">
        <f t="shared" si="5"/>
        <v>0</v>
      </c>
      <c r="I56" s="1"/>
      <c r="J56" s="84"/>
      <c r="K56" s="90"/>
      <c r="L56" s="91"/>
      <c r="M56" s="92"/>
      <c r="N56" s="93"/>
      <c r="O56" s="93"/>
      <c r="P56" s="88"/>
      <c r="Q56" s="88"/>
      <c r="R56" s="48"/>
      <c r="S56" s="48"/>
      <c r="T56" s="48"/>
      <c r="U56" s="48"/>
      <c r="V56" s="130"/>
    </row>
    <row r="57" spans="1:22" x14ac:dyDescent="0.3">
      <c r="A57" s="1">
        <f t="shared" si="3"/>
        <v>0</v>
      </c>
      <c r="C57" s="1" cm="1">
        <f t="array" ref="C57">_xlfn.IFS(Projections!BJ57=0,0,AND(OR(Setup!I$4=Lookups!D$109,Setup!I$4=Lookups!D$112),Projections!BJ57&gt;P$15),0,AND(OR(Setup!I$4=Lookups!D$110,Setup!I$4=Lookups!D$111),Projections!BJ57&gt;P$14),0,AND(OR(Setup!I$4=Lookups!D$109,Setup!I$4=Lookups!D$112),Projections!BJ57&gt;O$15),VLOOKUP(Setup!I$4,K$17:P$20,6),AND(OR(Setup!I$4=Lookups!D$110,Setup!I$4=Lookups!D$111),Projections!BJ57&gt;O$14),VLOOKUP(Setup!I$4,K$17:P$20,6),AND(OR(Setup!I$4=Lookups!D$109,Setup!I$4=Lookups!D$112),Projections!BJ57&gt;N$15),VLOOKUP(Setup!I$4,K$17:P$20,5),AND(OR(Setup!I$4=Lookups!D$110,Setup!I$4=Lookups!D$111),Projections!BJ57&gt;N$14),VLOOKUP(Setup!I$4,K$17:P$20,5),AND(OR(Setup!I$4=Lookups!D$109,Setup!I$4=Lookups!D$112),Projections!BJ57&gt;M$15),VLOOKUP(Setup!I$4,K$17:P$20,4),AND(OR(Setup!I$4=Lookups!D$110,Setup!I$4=Lookups!D$111),Projections!BJ57&gt;M$14),VLOOKUP(Setup!I$4,K$17:P$20,4),AND(OR(Setup!I$4=Lookups!D$109,Setup!I$4=Lookups!D$112),Projections!BJ57&gt;L$15),VLOOKUP(Setup!I$4,K$17:P$20,3),AND(OR(Setup!I$4=Lookups!D$110,Setup!I$4=Lookups!D$111),Projections!BJ57&gt;L$14),VLOOKUP(Setup!I$4,K$17:P$20,3),AND(OR(Setup!I$4=Lookups!D$109,Setup!I$4=Lookups!D$112),Projections!BJ57&lt;L$15),VLOOKUP(Setup!I$4,K$17:P$20,2),AND(OR(Setup!I$4=Lookups!D$110,Setup!I$4=Lookups!D$111),Projections!BJ57&lt;L$14),VLOOKUP(Setup!I$4,K$17:P$20,2))</f>
        <v>0</v>
      </c>
      <c r="D57" s="1">
        <f>IF(Projections!AW57+Projections!BG57&gt;0,Projections!AW57+Projections!BG57-C57-VLOOKUP(Setup!I$4,K$23:L$26,2)-IF(VLOOKUP(Setup!I$4,K$31:L$34,2)&gt;Projections!AW57+Projections!BG57,IF(OR(Setup!I$4="Head of household",Setup!I$4="Married filing jointly"),2*L$29, L$29),0),0)</f>
        <v>0</v>
      </c>
      <c r="E57" s="1" cm="1">
        <f t="array" ref="E57">IF(D57&gt;0,_xlfn.IFS(Setup!I$4=Lookups!D$109,-_xlfn.IFS(D57&gt;=L$48, N$48+(D57-L$48)*O$48,D57&gt;=L$47, N$47+(D57-L$47)*O$47,D57&gt;=L$46,N$46+(D57-L$46)*O$46,D57&lt;L$46,D57*O$45),Setup!I$4=Lookups!D$110,-_xlfn.IFS(D57&gt;=L$55, N$55+(D57-L$55)*O$55,D57&gt;=L$54, N$54+(D57-L$54)*O$54,D57&gt;=L$53, N$53+(D57-L$53)*O$53,D57&lt;L$53,D57*O$52),Setup!I$4=Lookups!D$111,-_xlfn.IFS(D57&gt;=L$62, N$62+(D57-L$62)*O$62,D57&gt;=L$61, N$61+(D57-L$61)*O$61,D57&gt;=L$60, N$60+(D57-L$60)*O$60,D57&lt;L$60,D57*O$59), Setup!I$4=Lookups!D$112,-_xlfn.IFS(D57&gt;=L$69, N$69+(D57-L$69)*O$69,D57&gt;=L$68, N$68+(D57-L$68)*O$68,D57&gt;=L$67, N$67+(D57-L$67)*O$67,D57&lt;L$67,D57*O$66)),0)</f>
        <v>0</v>
      </c>
      <c r="F57" s="18">
        <f t="shared" si="4"/>
        <v>0</v>
      </c>
      <c r="G57" s="1">
        <f t="shared" si="5"/>
        <v>0</v>
      </c>
      <c r="I57" s="1"/>
      <c r="J57" s="84"/>
      <c r="K57" s="90"/>
      <c r="L57" s="111" t="s">
        <v>66</v>
      </c>
      <c r="M57" s="112"/>
      <c r="N57" s="112"/>
      <c r="O57" s="113"/>
      <c r="P57" s="88"/>
      <c r="Q57" s="88"/>
      <c r="R57" s="48"/>
      <c r="S57" s="48"/>
      <c r="T57" s="48"/>
      <c r="U57" s="48"/>
      <c r="V57" s="130"/>
    </row>
    <row r="58" spans="1:22" x14ac:dyDescent="0.3">
      <c r="A58" s="1">
        <f t="shared" si="3"/>
        <v>0</v>
      </c>
      <c r="C58" s="1" cm="1">
        <f t="array" ref="C58">_xlfn.IFS(Projections!BJ58=0,0,AND(OR(Setup!I$4=Lookups!D$109,Setup!I$4=Lookups!D$112),Projections!BJ58&gt;P$15),0,AND(OR(Setup!I$4=Lookups!D$110,Setup!I$4=Lookups!D$111),Projections!BJ58&gt;P$14),0,AND(OR(Setup!I$4=Lookups!D$109,Setup!I$4=Lookups!D$112),Projections!BJ58&gt;O$15),VLOOKUP(Setup!I$4,K$17:P$20,6),AND(OR(Setup!I$4=Lookups!D$110,Setup!I$4=Lookups!D$111),Projections!BJ58&gt;O$14),VLOOKUP(Setup!I$4,K$17:P$20,6),AND(OR(Setup!I$4=Lookups!D$109,Setup!I$4=Lookups!D$112),Projections!BJ58&gt;N$15),VLOOKUP(Setup!I$4,K$17:P$20,5),AND(OR(Setup!I$4=Lookups!D$110,Setup!I$4=Lookups!D$111),Projections!BJ58&gt;N$14),VLOOKUP(Setup!I$4,K$17:P$20,5),AND(OR(Setup!I$4=Lookups!D$109,Setup!I$4=Lookups!D$112),Projections!BJ58&gt;M$15),VLOOKUP(Setup!I$4,K$17:P$20,4),AND(OR(Setup!I$4=Lookups!D$110,Setup!I$4=Lookups!D$111),Projections!BJ58&gt;M$14),VLOOKUP(Setup!I$4,K$17:P$20,4),AND(OR(Setup!I$4=Lookups!D$109,Setup!I$4=Lookups!D$112),Projections!BJ58&gt;L$15),VLOOKUP(Setup!I$4,K$17:P$20,3),AND(OR(Setup!I$4=Lookups!D$110,Setup!I$4=Lookups!D$111),Projections!BJ58&gt;L$14),VLOOKUP(Setup!I$4,K$17:P$20,3),AND(OR(Setup!I$4=Lookups!D$109,Setup!I$4=Lookups!D$112),Projections!BJ58&lt;L$15),VLOOKUP(Setup!I$4,K$17:P$20,2),AND(OR(Setup!I$4=Lookups!D$110,Setup!I$4=Lookups!D$111),Projections!BJ58&lt;L$14),VLOOKUP(Setup!I$4,K$17:P$20,2))</f>
        <v>0</v>
      </c>
      <c r="D58" s="1">
        <f>IF(Projections!AW58+Projections!BG58&gt;0,Projections!AW58+Projections!BG58-C58-VLOOKUP(Setup!I$4,K$23:L$26,2)-IF(VLOOKUP(Setup!I$4,K$31:L$34,2)&gt;Projections!AW58+Projections!BG58,IF(OR(Setup!I$4="Head of household",Setup!I$4="Married filing jointly"),2*L$29, L$29),0),0)</f>
        <v>0</v>
      </c>
      <c r="E58" s="1" cm="1">
        <f t="array" ref="E58">IF(D58&gt;0,_xlfn.IFS(Setup!I$4=Lookups!D$109,-_xlfn.IFS(D58&gt;=L$48, N$48+(D58-L$48)*O$48,D58&gt;=L$47, N$47+(D58-L$47)*O$47,D58&gt;=L$46,N$46+(D58-L$46)*O$46,D58&lt;L$46,D58*O$45),Setup!I$4=Lookups!D$110,-_xlfn.IFS(D58&gt;=L$55, N$55+(D58-L$55)*O$55,D58&gt;=L$54, N$54+(D58-L$54)*O$54,D58&gt;=L$53, N$53+(D58-L$53)*O$53,D58&lt;L$53,D58*O$52),Setup!I$4=Lookups!D$111,-_xlfn.IFS(D58&gt;=L$62, N$62+(D58-L$62)*O$62,D58&gt;=L$61, N$61+(D58-L$61)*O$61,D58&gt;=L$60, N$60+(D58-L$60)*O$60,D58&lt;L$60,D58*O$59), Setup!I$4=Lookups!D$112,-_xlfn.IFS(D58&gt;=L$69, N$69+(D58-L$69)*O$69,D58&gt;=L$68, N$68+(D58-L$68)*O$68,D58&gt;=L$67, N$67+(D58-L$67)*O$67,D58&lt;L$67,D58*O$66)),0)</f>
        <v>0</v>
      </c>
      <c r="F58" s="18">
        <f t="shared" si="4"/>
        <v>0</v>
      </c>
      <c r="G58" s="1">
        <f t="shared" si="5"/>
        <v>0</v>
      </c>
      <c r="I58" s="1"/>
      <c r="J58" s="84"/>
      <c r="K58" s="90"/>
      <c r="L58" s="114" t="s">
        <v>103</v>
      </c>
      <c r="M58" s="46" t="s">
        <v>104</v>
      </c>
      <c r="N58" s="46" t="s">
        <v>105</v>
      </c>
      <c r="O58" s="115" t="s">
        <v>106</v>
      </c>
      <c r="P58" s="88"/>
      <c r="Q58" s="88"/>
      <c r="R58" s="48"/>
      <c r="S58" s="48"/>
      <c r="T58" s="48"/>
      <c r="U58" s="48"/>
      <c r="V58" s="130"/>
    </row>
    <row r="59" spans="1:22" x14ac:dyDescent="0.3">
      <c r="A59" s="1">
        <f t="shared" si="3"/>
        <v>0</v>
      </c>
      <c r="C59" s="1" cm="1">
        <f t="array" ref="C59">_xlfn.IFS(Projections!BJ59=0,0,AND(OR(Setup!I$4=Lookups!D$109,Setup!I$4=Lookups!D$112),Projections!BJ59&gt;P$15),0,AND(OR(Setup!I$4=Lookups!D$110,Setup!I$4=Lookups!D$111),Projections!BJ59&gt;P$14),0,AND(OR(Setup!I$4=Lookups!D$109,Setup!I$4=Lookups!D$112),Projections!BJ59&gt;O$15),VLOOKUP(Setup!I$4,K$17:P$20,6),AND(OR(Setup!I$4=Lookups!D$110,Setup!I$4=Lookups!D$111),Projections!BJ59&gt;O$14),VLOOKUP(Setup!I$4,K$17:P$20,6),AND(OR(Setup!I$4=Lookups!D$109,Setup!I$4=Lookups!D$112),Projections!BJ59&gt;N$15),VLOOKUP(Setup!I$4,K$17:P$20,5),AND(OR(Setup!I$4=Lookups!D$110,Setup!I$4=Lookups!D$111),Projections!BJ59&gt;N$14),VLOOKUP(Setup!I$4,K$17:P$20,5),AND(OR(Setup!I$4=Lookups!D$109,Setup!I$4=Lookups!D$112),Projections!BJ59&gt;M$15),VLOOKUP(Setup!I$4,K$17:P$20,4),AND(OR(Setup!I$4=Lookups!D$110,Setup!I$4=Lookups!D$111),Projections!BJ59&gt;M$14),VLOOKUP(Setup!I$4,K$17:P$20,4),AND(OR(Setup!I$4=Lookups!D$109,Setup!I$4=Lookups!D$112),Projections!BJ59&gt;L$15),VLOOKUP(Setup!I$4,K$17:P$20,3),AND(OR(Setup!I$4=Lookups!D$110,Setup!I$4=Lookups!D$111),Projections!BJ59&gt;L$14),VLOOKUP(Setup!I$4,K$17:P$20,3),AND(OR(Setup!I$4=Lookups!D$109,Setup!I$4=Lookups!D$112),Projections!BJ59&lt;L$15),VLOOKUP(Setup!I$4,K$17:P$20,2),AND(OR(Setup!I$4=Lookups!D$110,Setup!I$4=Lookups!D$111),Projections!BJ59&lt;L$14),VLOOKUP(Setup!I$4,K$17:P$20,2))</f>
        <v>0</v>
      </c>
      <c r="D59" s="1">
        <f>IF(Projections!AW59+Projections!BG59&gt;0,Projections!AW59+Projections!BG59-C59-VLOOKUP(Setup!I$4,K$23:L$26,2)-IF(VLOOKUP(Setup!I$4,K$31:L$34,2)&gt;Projections!AW59+Projections!BG59,IF(OR(Setup!I$4="Head of household",Setup!I$4="Married filing jointly"),2*L$29, L$29),0),0)</f>
        <v>0</v>
      </c>
      <c r="E59" s="1" cm="1">
        <f t="array" ref="E59">IF(D59&gt;0,_xlfn.IFS(Setup!I$4=Lookups!D$109,-_xlfn.IFS(D59&gt;=L$48, N$48+(D59-L$48)*O$48,D59&gt;=L$47, N$47+(D59-L$47)*O$47,D59&gt;=L$46,N$46+(D59-L$46)*O$46,D59&lt;L$46,D59*O$45),Setup!I$4=Lookups!D$110,-_xlfn.IFS(D59&gt;=L$55, N$55+(D59-L$55)*O$55,D59&gt;=L$54, N$54+(D59-L$54)*O$54,D59&gt;=L$53, N$53+(D59-L$53)*O$53,D59&lt;L$53,D59*O$52),Setup!I$4=Lookups!D$111,-_xlfn.IFS(D59&gt;=L$62, N$62+(D59-L$62)*O$62,D59&gt;=L$61, N$61+(D59-L$61)*O$61,D59&gt;=L$60, N$60+(D59-L$60)*O$60,D59&lt;L$60,D59*O$59), Setup!I$4=Lookups!D$112,-_xlfn.IFS(D59&gt;=L$69, N$69+(D59-L$69)*O$69,D59&gt;=L$68, N$68+(D59-L$68)*O$68,D59&gt;=L$67, N$67+(D59-L$67)*O$67,D59&lt;L$67,D59*O$66)),0)</f>
        <v>0</v>
      </c>
      <c r="F59" s="18">
        <f t="shared" si="4"/>
        <v>0</v>
      </c>
      <c r="G59" s="1">
        <f t="shared" si="5"/>
        <v>0</v>
      </c>
      <c r="I59" s="1"/>
      <c r="J59" s="84"/>
      <c r="K59" s="90"/>
      <c r="L59" s="116">
        <v>0</v>
      </c>
      <c r="M59" s="95">
        <f>L40</f>
        <v>3650</v>
      </c>
      <c r="N59" s="95"/>
      <c r="O59" s="124">
        <f>L$37</f>
        <v>4.7500000000000001E-2</v>
      </c>
      <c r="P59" s="88"/>
      <c r="Q59" s="88"/>
      <c r="R59" s="48"/>
      <c r="S59" s="48"/>
      <c r="T59" s="48"/>
      <c r="U59" s="48"/>
      <c r="V59" s="130"/>
    </row>
    <row r="60" spans="1:22" x14ac:dyDescent="0.3">
      <c r="A60" s="1">
        <f t="shared" si="3"/>
        <v>0</v>
      </c>
      <c r="C60" s="1" cm="1">
        <f t="array" ref="C60">_xlfn.IFS(Projections!BJ60=0,0,AND(OR(Setup!I$4=Lookups!D$109,Setup!I$4=Lookups!D$112),Projections!BJ60&gt;P$15),0,AND(OR(Setup!I$4=Lookups!D$110,Setup!I$4=Lookups!D$111),Projections!BJ60&gt;P$14),0,AND(OR(Setup!I$4=Lookups!D$109,Setup!I$4=Lookups!D$112),Projections!BJ60&gt;O$15),VLOOKUP(Setup!I$4,K$17:P$20,6),AND(OR(Setup!I$4=Lookups!D$110,Setup!I$4=Lookups!D$111),Projections!BJ60&gt;O$14),VLOOKUP(Setup!I$4,K$17:P$20,6),AND(OR(Setup!I$4=Lookups!D$109,Setup!I$4=Lookups!D$112),Projections!BJ60&gt;N$15),VLOOKUP(Setup!I$4,K$17:P$20,5),AND(OR(Setup!I$4=Lookups!D$110,Setup!I$4=Lookups!D$111),Projections!BJ60&gt;N$14),VLOOKUP(Setup!I$4,K$17:P$20,5),AND(OR(Setup!I$4=Lookups!D$109,Setup!I$4=Lookups!D$112),Projections!BJ60&gt;M$15),VLOOKUP(Setup!I$4,K$17:P$20,4),AND(OR(Setup!I$4=Lookups!D$110,Setup!I$4=Lookups!D$111),Projections!BJ60&gt;M$14),VLOOKUP(Setup!I$4,K$17:P$20,4),AND(OR(Setup!I$4=Lookups!D$109,Setup!I$4=Lookups!D$112),Projections!BJ60&gt;L$15),VLOOKUP(Setup!I$4,K$17:P$20,3),AND(OR(Setup!I$4=Lookups!D$110,Setup!I$4=Lookups!D$111),Projections!BJ60&gt;L$14),VLOOKUP(Setup!I$4,K$17:P$20,3),AND(OR(Setup!I$4=Lookups!D$109,Setup!I$4=Lookups!D$112),Projections!BJ60&lt;L$15),VLOOKUP(Setup!I$4,K$17:P$20,2),AND(OR(Setup!I$4=Lookups!D$110,Setup!I$4=Lookups!D$111),Projections!BJ60&lt;L$14),VLOOKUP(Setup!I$4,K$17:P$20,2))</f>
        <v>0</v>
      </c>
      <c r="D60" s="1">
        <f>IF(Projections!AW60+Projections!BG60&gt;0,Projections!AW60+Projections!BG60-C60-VLOOKUP(Setup!I$4,K$23:L$26,2)-IF(VLOOKUP(Setup!I$4,K$31:L$34,2)&gt;Projections!AW60+Projections!BG60,IF(OR(Setup!I$4="Head of household",Setup!I$4="Married filing jointly"),2*L$29, L$29),0),0)</f>
        <v>0</v>
      </c>
      <c r="E60" s="1" cm="1">
        <f t="array" ref="E60">IF(D60&gt;0,_xlfn.IFS(Setup!I$4=Lookups!D$109,-_xlfn.IFS(D60&gt;=L$48, N$48+(D60-L$48)*O$48,D60&gt;=L$47, N$47+(D60-L$47)*O$47,D60&gt;=L$46,N$46+(D60-L$46)*O$46,D60&lt;L$46,D60*O$45),Setup!I$4=Lookups!D$110,-_xlfn.IFS(D60&gt;=L$55, N$55+(D60-L$55)*O$55,D60&gt;=L$54, N$54+(D60-L$54)*O$54,D60&gt;=L$53, N$53+(D60-L$53)*O$53,D60&lt;L$53,D60*O$52),Setup!I$4=Lookups!D$111,-_xlfn.IFS(D60&gt;=L$62, N$62+(D60-L$62)*O$62,D60&gt;=L$61, N$61+(D60-L$61)*O$61,D60&gt;=L$60, N$60+(D60-L$60)*O$60,D60&lt;L$60,D60*O$59), Setup!I$4=Lookups!D$112,-_xlfn.IFS(D60&gt;=L$69, N$69+(D60-L$69)*O$69,D60&gt;=L$68, N$68+(D60-L$68)*O$68,D60&gt;=L$67, N$67+(D60-L$67)*O$67,D60&lt;L$67,D60*O$66)),0)</f>
        <v>0</v>
      </c>
      <c r="F60" s="18">
        <f t="shared" si="4"/>
        <v>0</v>
      </c>
      <c r="G60" s="1">
        <f t="shared" si="5"/>
        <v>0</v>
      </c>
      <c r="I60" s="1"/>
      <c r="J60" s="84"/>
      <c r="K60" s="90"/>
      <c r="L60" s="116">
        <f>M59+1</f>
        <v>3651</v>
      </c>
      <c r="M60" s="95">
        <f>M40</f>
        <v>9200</v>
      </c>
      <c r="N60" s="95">
        <f>L$37*L38</f>
        <v>346.75</v>
      </c>
      <c r="O60" s="124">
        <f>M$37</f>
        <v>6.7500000000000004E-2</v>
      </c>
      <c r="P60" s="88"/>
      <c r="Q60" s="88"/>
      <c r="R60" s="48"/>
      <c r="S60" s="48"/>
      <c r="T60" s="48"/>
      <c r="U60" s="48"/>
      <c r="V60" s="130"/>
    </row>
    <row r="61" spans="1:22" x14ac:dyDescent="0.3">
      <c r="A61" s="1">
        <f t="shared" si="3"/>
        <v>0</v>
      </c>
      <c r="C61" s="1" cm="1">
        <f t="array" ref="C61">_xlfn.IFS(Projections!BJ61=0,0,AND(OR(Setup!I$4=Lookups!D$109,Setup!I$4=Lookups!D$112),Projections!BJ61&gt;P$15),0,AND(OR(Setup!I$4=Lookups!D$110,Setup!I$4=Lookups!D$111),Projections!BJ61&gt;P$14),0,AND(OR(Setup!I$4=Lookups!D$109,Setup!I$4=Lookups!D$112),Projections!BJ61&gt;O$15),VLOOKUP(Setup!I$4,K$17:P$20,6),AND(OR(Setup!I$4=Lookups!D$110,Setup!I$4=Lookups!D$111),Projections!BJ61&gt;O$14),VLOOKUP(Setup!I$4,K$17:P$20,6),AND(OR(Setup!I$4=Lookups!D$109,Setup!I$4=Lookups!D$112),Projections!BJ61&gt;N$15),VLOOKUP(Setup!I$4,K$17:P$20,5),AND(OR(Setup!I$4=Lookups!D$110,Setup!I$4=Lookups!D$111),Projections!BJ61&gt;N$14),VLOOKUP(Setup!I$4,K$17:P$20,5),AND(OR(Setup!I$4=Lookups!D$109,Setup!I$4=Lookups!D$112),Projections!BJ61&gt;M$15),VLOOKUP(Setup!I$4,K$17:P$20,4),AND(OR(Setup!I$4=Lookups!D$110,Setup!I$4=Lookups!D$111),Projections!BJ61&gt;M$14),VLOOKUP(Setup!I$4,K$17:P$20,4),AND(OR(Setup!I$4=Lookups!D$109,Setup!I$4=Lookups!D$112),Projections!BJ61&gt;L$15),VLOOKUP(Setup!I$4,K$17:P$20,3),AND(OR(Setup!I$4=Lookups!D$110,Setup!I$4=Lookups!D$111),Projections!BJ61&gt;L$14),VLOOKUP(Setup!I$4,K$17:P$20,3),AND(OR(Setup!I$4=Lookups!D$109,Setup!I$4=Lookups!D$112),Projections!BJ61&lt;L$15),VLOOKUP(Setup!I$4,K$17:P$20,2),AND(OR(Setup!I$4=Lookups!D$110,Setup!I$4=Lookups!D$111),Projections!BJ61&lt;L$14),VLOOKUP(Setup!I$4,K$17:P$20,2))</f>
        <v>0</v>
      </c>
      <c r="D61" s="1">
        <f>IF(Projections!AW61+Projections!BG61&gt;0,Projections!AW61+Projections!BG61-C61-VLOOKUP(Setup!I$4,K$23:L$26,2)-IF(VLOOKUP(Setup!I$4,K$31:L$34,2)&gt;Projections!AW61+Projections!BG61,IF(OR(Setup!I$4="Head of household",Setup!I$4="Married filing jointly"),2*L$29, L$29),0),0)</f>
        <v>0</v>
      </c>
      <c r="E61" s="1" cm="1">
        <f t="array" ref="E61">IF(D61&gt;0,_xlfn.IFS(Setup!I$4=Lookups!D$109,-_xlfn.IFS(D61&gt;=L$48, N$48+(D61-L$48)*O$48,D61&gt;=L$47, N$47+(D61-L$47)*O$47,D61&gt;=L$46,N$46+(D61-L$46)*O$46,D61&lt;L$46,D61*O$45),Setup!I$4=Lookups!D$110,-_xlfn.IFS(D61&gt;=L$55, N$55+(D61-L$55)*O$55,D61&gt;=L$54, N$54+(D61-L$54)*O$54,D61&gt;=L$53, N$53+(D61-L$53)*O$53,D61&lt;L$53,D61*O$52),Setup!I$4=Lookups!D$111,-_xlfn.IFS(D61&gt;=L$62, N$62+(D61-L$62)*O$62,D61&gt;=L$61, N$61+(D61-L$61)*O$61,D61&gt;=L$60, N$60+(D61-L$60)*O$60,D61&lt;L$60,D61*O$59), Setup!I$4=Lookups!D$112,-_xlfn.IFS(D61&gt;=L$69, N$69+(D61-L$69)*O$69,D61&gt;=L$68, N$68+(D61-L$68)*O$68,D61&gt;=L$67, N$67+(D61-L$67)*O$67,D61&lt;L$67,D61*O$66)),0)</f>
        <v>0</v>
      </c>
      <c r="F61" s="18">
        <f t="shared" si="4"/>
        <v>0</v>
      </c>
      <c r="G61" s="1">
        <f t="shared" si="5"/>
        <v>0</v>
      </c>
      <c r="I61" s="1"/>
      <c r="J61" s="84"/>
      <c r="K61" s="90"/>
      <c r="L61" s="116">
        <f>M60+1</f>
        <v>9201</v>
      </c>
      <c r="M61" s="95">
        <f>N40</f>
        <v>125000</v>
      </c>
      <c r="N61" s="95">
        <f>M$37*M38</f>
        <v>1242</v>
      </c>
      <c r="O61" s="124">
        <f>N$37</f>
        <v>8.7499999999999994E-2</v>
      </c>
      <c r="P61" s="88"/>
      <c r="Q61" s="88"/>
      <c r="R61" s="48"/>
      <c r="S61" s="48"/>
      <c r="T61" s="48"/>
      <c r="U61" s="48"/>
      <c r="V61" s="130"/>
    </row>
    <row r="62" spans="1:22" x14ac:dyDescent="0.3">
      <c r="A62" s="1">
        <f t="shared" si="3"/>
        <v>0</v>
      </c>
      <c r="C62" s="1" cm="1">
        <f t="array" ref="C62">_xlfn.IFS(Projections!BJ62=0,0,AND(OR(Setup!I$4=Lookups!D$109,Setup!I$4=Lookups!D$112),Projections!BJ62&gt;P$15),0,AND(OR(Setup!I$4=Lookups!D$110,Setup!I$4=Lookups!D$111),Projections!BJ62&gt;P$14),0,AND(OR(Setup!I$4=Lookups!D$109,Setup!I$4=Lookups!D$112),Projections!BJ62&gt;O$15),VLOOKUP(Setup!I$4,K$17:P$20,6),AND(OR(Setup!I$4=Lookups!D$110,Setup!I$4=Lookups!D$111),Projections!BJ62&gt;O$14),VLOOKUP(Setup!I$4,K$17:P$20,6),AND(OR(Setup!I$4=Lookups!D$109,Setup!I$4=Lookups!D$112),Projections!BJ62&gt;N$15),VLOOKUP(Setup!I$4,K$17:P$20,5),AND(OR(Setup!I$4=Lookups!D$110,Setup!I$4=Lookups!D$111),Projections!BJ62&gt;N$14),VLOOKUP(Setup!I$4,K$17:P$20,5),AND(OR(Setup!I$4=Lookups!D$109,Setup!I$4=Lookups!D$112),Projections!BJ62&gt;M$15),VLOOKUP(Setup!I$4,K$17:P$20,4),AND(OR(Setup!I$4=Lookups!D$110,Setup!I$4=Lookups!D$111),Projections!BJ62&gt;M$14),VLOOKUP(Setup!I$4,K$17:P$20,4),AND(OR(Setup!I$4=Lookups!D$109,Setup!I$4=Lookups!D$112),Projections!BJ62&gt;L$15),VLOOKUP(Setup!I$4,K$17:P$20,3),AND(OR(Setup!I$4=Lookups!D$110,Setup!I$4=Lookups!D$111),Projections!BJ62&gt;L$14),VLOOKUP(Setup!I$4,K$17:P$20,3),AND(OR(Setup!I$4=Lookups!D$109,Setup!I$4=Lookups!D$112),Projections!BJ62&lt;L$15),VLOOKUP(Setup!I$4,K$17:P$20,2),AND(OR(Setup!I$4=Lookups!D$110,Setup!I$4=Lookups!D$111),Projections!BJ62&lt;L$14),VLOOKUP(Setup!I$4,K$17:P$20,2))</f>
        <v>0</v>
      </c>
      <c r="D62" s="1">
        <f>IF(Projections!AW62+Projections!BG62&gt;0,Projections!AW62+Projections!BG62-C62-VLOOKUP(Setup!I$4,K$23:L$26,2)-IF(VLOOKUP(Setup!I$4,K$31:L$34,2)&gt;Projections!AW62+Projections!BG62,IF(OR(Setup!I$4="Head of household",Setup!I$4="Married filing jointly"),2*L$29, L$29),0),0)</f>
        <v>0</v>
      </c>
      <c r="E62" s="1" cm="1">
        <f t="array" ref="E62">IF(D62&gt;0,_xlfn.IFS(Setup!I$4=Lookups!D$109,-_xlfn.IFS(D62&gt;=L$48, N$48+(D62-L$48)*O$48,D62&gt;=L$47, N$47+(D62-L$47)*O$47,D62&gt;=L$46,N$46+(D62-L$46)*O$46,D62&lt;L$46,D62*O$45),Setup!I$4=Lookups!D$110,-_xlfn.IFS(D62&gt;=L$55, N$55+(D62-L$55)*O$55,D62&gt;=L$54, N$54+(D62-L$54)*O$54,D62&gt;=L$53, N$53+(D62-L$53)*O$53,D62&lt;L$53,D62*O$52),Setup!I$4=Lookups!D$111,-_xlfn.IFS(D62&gt;=L$62, N$62+(D62-L$62)*O$62,D62&gt;=L$61, N$61+(D62-L$61)*O$61,D62&gt;=L$60, N$60+(D62-L$60)*O$60,D62&lt;L$60,D62*O$59), Setup!I$4=Lookups!D$112,-_xlfn.IFS(D62&gt;=L$69, N$69+(D62-L$69)*O$69,D62&gt;=L$68, N$68+(D62-L$68)*O$68,D62&gt;=L$67, N$67+(D62-L$67)*O$67,D62&lt;L$67,D62*O$66)),0)</f>
        <v>0</v>
      </c>
      <c r="F62" s="18">
        <f t="shared" si="4"/>
        <v>0</v>
      </c>
      <c r="G62" s="1">
        <f t="shared" si="5"/>
        <v>0</v>
      </c>
      <c r="I62" s="1"/>
      <c r="J62" s="84"/>
      <c r="K62" s="90"/>
      <c r="L62" s="118">
        <f>M61+1</f>
        <v>125001</v>
      </c>
      <c r="M62" s="119"/>
      <c r="N62" s="119">
        <f>N$37*N38</f>
        <v>21875</v>
      </c>
      <c r="O62" s="125">
        <f>O$37</f>
        <v>9.9000000000000005E-2</v>
      </c>
      <c r="P62" s="88"/>
      <c r="Q62" s="88"/>
      <c r="R62" s="48"/>
      <c r="S62" s="48"/>
      <c r="T62" s="48"/>
      <c r="U62" s="48"/>
      <c r="V62" s="130"/>
    </row>
    <row r="63" spans="1:22" x14ac:dyDescent="0.3">
      <c r="A63" s="1">
        <f t="shared" si="3"/>
        <v>0</v>
      </c>
      <c r="C63" s="1" cm="1">
        <f t="array" ref="C63">_xlfn.IFS(Projections!BJ63=0,0,AND(OR(Setup!I$4=Lookups!D$109,Setup!I$4=Lookups!D$112),Projections!BJ63&gt;P$15),0,AND(OR(Setup!I$4=Lookups!D$110,Setup!I$4=Lookups!D$111),Projections!BJ63&gt;P$14),0,AND(OR(Setup!I$4=Lookups!D$109,Setup!I$4=Lookups!D$112),Projections!BJ63&gt;O$15),VLOOKUP(Setup!I$4,K$17:P$20,6),AND(OR(Setup!I$4=Lookups!D$110,Setup!I$4=Lookups!D$111),Projections!BJ63&gt;O$14),VLOOKUP(Setup!I$4,K$17:P$20,6),AND(OR(Setup!I$4=Lookups!D$109,Setup!I$4=Lookups!D$112),Projections!BJ63&gt;N$15),VLOOKUP(Setup!I$4,K$17:P$20,5),AND(OR(Setup!I$4=Lookups!D$110,Setup!I$4=Lookups!D$111),Projections!BJ63&gt;N$14),VLOOKUP(Setup!I$4,K$17:P$20,5),AND(OR(Setup!I$4=Lookups!D$109,Setup!I$4=Lookups!D$112),Projections!BJ63&gt;M$15),VLOOKUP(Setup!I$4,K$17:P$20,4),AND(OR(Setup!I$4=Lookups!D$110,Setup!I$4=Lookups!D$111),Projections!BJ63&gt;M$14),VLOOKUP(Setup!I$4,K$17:P$20,4),AND(OR(Setup!I$4=Lookups!D$109,Setup!I$4=Lookups!D$112),Projections!BJ63&gt;L$15),VLOOKUP(Setup!I$4,K$17:P$20,3),AND(OR(Setup!I$4=Lookups!D$110,Setup!I$4=Lookups!D$111),Projections!BJ63&gt;L$14),VLOOKUP(Setup!I$4,K$17:P$20,3),AND(OR(Setup!I$4=Lookups!D$109,Setup!I$4=Lookups!D$112),Projections!BJ63&lt;L$15),VLOOKUP(Setup!I$4,K$17:P$20,2),AND(OR(Setup!I$4=Lookups!D$110,Setup!I$4=Lookups!D$111),Projections!BJ63&lt;L$14),VLOOKUP(Setup!I$4,K$17:P$20,2))</f>
        <v>0</v>
      </c>
      <c r="D63" s="1">
        <f>IF(Projections!AW63+Projections!BG63&gt;0,Projections!AW63+Projections!BG63-C63-VLOOKUP(Setup!I$4,K$23:L$26,2)-IF(VLOOKUP(Setup!I$4,K$31:L$34,2)&gt;Projections!AW63+Projections!BG63,IF(OR(Setup!I$4="Head of household",Setup!I$4="Married filing jointly"),2*L$29, L$29),0),0)</f>
        <v>0</v>
      </c>
      <c r="E63" s="1" cm="1">
        <f t="array" ref="E63">IF(D63&gt;0,_xlfn.IFS(Setup!I$4=Lookups!D$109,-_xlfn.IFS(D63&gt;=L$48, N$48+(D63-L$48)*O$48,D63&gt;=L$47, N$47+(D63-L$47)*O$47,D63&gt;=L$46,N$46+(D63-L$46)*O$46,D63&lt;L$46,D63*O$45),Setup!I$4=Lookups!D$110,-_xlfn.IFS(D63&gt;=L$55, N$55+(D63-L$55)*O$55,D63&gt;=L$54, N$54+(D63-L$54)*O$54,D63&gt;=L$53, N$53+(D63-L$53)*O$53,D63&lt;L$53,D63*O$52),Setup!I$4=Lookups!D$111,-_xlfn.IFS(D63&gt;=L$62, N$62+(D63-L$62)*O$62,D63&gt;=L$61, N$61+(D63-L$61)*O$61,D63&gt;=L$60, N$60+(D63-L$60)*O$60,D63&lt;L$60,D63*O$59), Setup!I$4=Lookups!D$112,-_xlfn.IFS(D63&gt;=L$69, N$69+(D63-L$69)*O$69,D63&gt;=L$68, N$68+(D63-L$68)*O$68,D63&gt;=L$67, N$67+(D63-L$67)*O$67,D63&lt;L$67,D63*O$66)),0)</f>
        <v>0</v>
      </c>
      <c r="F63" s="18">
        <f t="shared" si="4"/>
        <v>0</v>
      </c>
      <c r="G63" s="1">
        <f t="shared" si="5"/>
        <v>0</v>
      </c>
      <c r="I63" s="1"/>
      <c r="J63" s="84"/>
      <c r="K63" s="90"/>
      <c r="L63" s="91"/>
      <c r="M63" s="92"/>
      <c r="N63" s="93"/>
      <c r="O63" s="93"/>
      <c r="P63" s="88"/>
      <c r="Q63" s="88"/>
      <c r="R63" s="48"/>
      <c r="S63" s="132"/>
      <c r="T63" s="48"/>
      <c r="U63" s="48"/>
      <c r="V63" s="130"/>
    </row>
    <row r="64" spans="1:22" x14ac:dyDescent="0.3">
      <c r="A64" s="1">
        <f t="shared" si="3"/>
        <v>0</v>
      </c>
      <c r="C64" s="1" cm="1">
        <f t="array" ref="C64">_xlfn.IFS(Projections!BJ64=0,0,AND(OR(Setup!I$4=Lookups!D$109,Setup!I$4=Lookups!D$112),Projections!BJ64&gt;P$15),0,AND(OR(Setup!I$4=Lookups!D$110,Setup!I$4=Lookups!D$111),Projections!BJ64&gt;P$14),0,AND(OR(Setup!I$4=Lookups!D$109,Setup!I$4=Lookups!D$112),Projections!BJ64&gt;O$15),VLOOKUP(Setup!I$4,K$17:P$20,6),AND(OR(Setup!I$4=Lookups!D$110,Setup!I$4=Lookups!D$111),Projections!BJ64&gt;O$14),VLOOKUP(Setup!I$4,K$17:P$20,6),AND(OR(Setup!I$4=Lookups!D$109,Setup!I$4=Lookups!D$112),Projections!BJ64&gt;N$15),VLOOKUP(Setup!I$4,K$17:P$20,5),AND(OR(Setup!I$4=Lookups!D$110,Setup!I$4=Lookups!D$111),Projections!BJ64&gt;N$14),VLOOKUP(Setup!I$4,K$17:P$20,5),AND(OR(Setup!I$4=Lookups!D$109,Setup!I$4=Lookups!D$112),Projections!BJ64&gt;M$15),VLOOKUP(Setup!I$4,K$17:P$20,4),AND(OR(Setup!I$4=Lookups!D$110,Setup!I$4=Lookups!D$111),Projections!BJ64&gt;M$14),VLOOKUP(Setup!I$4,K$17:P$20,4),AND(OR(Setup!I$4=Lookups!D$109,Setup!I$4=Lookups!D$112),Projections!BJ64&gt;L$15),VLOOKUP(Setup!I$4,K$17:P$20,3),AND(OR(Setup!I$4=Lookups!D$110,Setup!I$4=Lookups!D$111),Projections!BJ64&gt;L$14),VLOOKUP(Setup!I$4,K$17:P$20,3),AND(OR(Setup!I$4=Lookups!D$109,Setup!I$4=Lookups!D$112),Projections!BJ64&lt;L$15),VLOOKUP(Setup!I$4,K$17:P$20,2),AND(OR(Setup!I$4=Lookups!D$110,Setup!I$4=Lookups!D$111),Projections!BJ64&lt;L$14),VLOOKUP(Setup!I$4,K$17:P$20,2))</f>
        <v>0</v>
      </c>
      <c r="D64" s="1">
        <f>IF(Projections!AW64+Projections!BG64&gt;0,Projections!AW64+Projections!BG64-C64-VLOOKUP(Setup!I$4,K$23:L$26,2)-IF(VLOOKUP(Setup!I$4,K$31:L$34,2)&gt;Projections!AW64+Projections!BG64,IF(OR(Setup!I$4="Head of household",Setup!I$4="Married filing jointly"),2*L$29, L$29),0),0)</f>
        <v>0</v>
      </c>
      <c r="E64" s="1" cm="1">
        <f t="array" ref="E64">IF(D64&gt;0,_xlfn.IFS(Setup!I$4=Lookups!D$109,-_xlfn.IFS(D64&gt;=L$48, N$48+(D64-L$48)*O$48,D64&gt;=L$47, N$47+(D64-L$47)*O$47,D64&gt;=L$46,N$46+(D64-L$46)*O$46,D64&lt;L$46,D64*O$45),Setup!I$4=Lookups!D$110,-_xlfn.IFS(D64&gt;=L$55, N$55+(D64-L$55)*O$55,D64&gt;=L$54, N$54+(D64-L$54)*O$54,D64&gt;=L$53, N$53+(D64-L$53)*O$53,D64&lt;L$53,D64*O$52),Setup!I$4=Lookups!D$111,-_xlfn.IFS(D64&gt;=L$62, N$62+(D64-L$62)*O$62,D64&gt;=L$61, N$61+(D64-L$61)*O$61,D64&gt;=L$60, N$60+(D64-L$60)*O$60,D64&lt;L$60,D64*O$59), Setup!I$4=Lookups!D$112,-_xlfn.IFS(D64&gt;=L$69, N$69+(D64-L$69)*O$69,D64&gt;=L$68, N$68+(D64-L$68)*O$68,D64&gt;=L$67, N$67+(D64-L$67)*O$67,D64&lt;L$67,D64*O$66)),0)</f>
        <v>0</v>
      </c>
      <c r="F64" s="18">
        <f t="shared" si="4"/>
        <v>0</v>
      </c>
      <c r="G64" s="1">
        <f t="shared" si="5"/>
        <v>0</v>
      </c>
      <c r="I64" s="1"/>
      <c r="J64" s="84"/>
      <c r="K64" s="90"/>
      <c r="L64" s="111" t="s">
        <v>65</v>
      </c>
      <c r="M64" s="112"/>
      <c r="N64" s="112"/>
      <c r="O64" s="113"/>
      <c r="P64" s="88"/>
      <c r="Q64" s="88"/>
      <c r="R64" s="48"/>
      <c r="T64" s="48"/>
      <c r="U64" s="48"/>
      <c r="V64" s="130"/>
    </row>
    <row r="65" spans="1:22" x14ac:dyDescent="0.3">
      <c r="A65" s="1">
        <f t="shared" si="3"/>
        <v>0</v>
      </c>
      <c r="C65" s="1" cm="1">
        <f t="array" ref="C65">_xlfn.IFS(Projections!BJ65=0,0,AND(OR(Setup!I$4=Lookups!D$109,Setup!I$4=Lookups!D$112),Projections!BJ65&gt;P$15),0,AND(OR(Setup!I$4=Lookups!D$110,Setup!I$4=Lookups!D$111),Projections!BJ65&gt;P$14),0,AND(OR(Setup!I$4=Lookups!D$109,Setup!I$4=Lookups!D$112),Projections!BJ65&gt;O$15),VLOOKUP(Setup!I$4,K$17:P$20,6),AND(OR(Setup!I$4=Lookups!D$110,Setup!I$4=Lookups!D$111),Projections!BJ65&gt;O$14),VLOOKUP(Setup!I$4,K$17:P$20,6),AND(OR(Setup!I$4=Lookups!D$109,Setup!I$4=Lookups!D$112),Projections!BJ65&gt;N$15),VLOOKUP(Setup!I$4,K$17:P$20,5),AND(OR(Setup!I$4=Lookups!D$110,Setup!I$4=Lookups!D$111),Projections!BJ65&gt;N$14),VLOOKUP(Setup!I$4,K$17:P$20,5),AND(OR(Setup!I$4=Lookups!D$109,Setup!I$4=Lookups!D$112),Projections!BJ65&gt;M$15),VLOOKUP(Setup!I$4,K$17:P$20,4),AND(OR(Setup!I$4=Lookups!D$110,Setup!I$4=Lookups!D$111),Projections!BJ65&gt;M$14),VLOOKUP(Setup!I$4,K$17:P$20,4),AND(OR(Setup!I$4=Lookups!D$109,Setup!I$4=Lookups!D$112),Projections!BJ65&gt;L$15),VLOOKUP(Setup!I$4,K$17:P$20,3),AND(OR(Setup!I$4=Lookups!D$110,Setup!I$4=Lookups!D$111),Projections!BJ65&gt;L$14),VLOOKUP(Setup!I$4,K$17:P$20,3),AND(OR(Setup!I$4=Lookups!D$109,Setup!I$4=Lookups!D$112),Projections!BJ65&lt;L$15),VLOOKUP(Setup!I$4,K$17:P$20,2),AND(OR(Setup!I$4=Lookups!D$110,Setup!I$4=Lookups!D$111),Projections!BJ65&lt;L$14),VLOOKUP(Setup!I$4,K$17:P$20,2))</f>
        <v>0</v>
      </c>
      <c r="D65" s="1">
        <f>IF(Projections!AW65+Projections!BG65&gt;0,Projections!AW65+Projections!BG65-C65-VLOOKUP(Setup!I$4,K$23:L$26,2)-IF(VLOOKUP(Setup!I$4,K$31:L$34,2)&gt;Projections!AW65+Projections!BG65,IF(OR(Setup!I$4="Head of household",Setup!I$4="Married filing jointly"),2*L$29, L$29),0),0)</f>
        <v>0</v>
      </c>
      <c r="E65" s="1" cm="1">
        <f t="array" ref="E65">IF(D65&gt;0,_xlfn.IFS(Setup!I$4=Lookups!D$109,-_xlfn.IFS(D65&gt;=L$48, N$48+(D65-L$48)*O$48,D65&gt;=L$47, N$47+(D65-L$47)*O$47,D65&gt;=L$46,N$46+(D65-L$46)*O$46,D65&lt;L$46,D65*O$45),Setup!I$4=Lookups!D$110,-_xlfn.IFS(D65&gt;=L$55, N$55+(D65-L$55)*O$55,D65&gt;=L$54, N$54+(D65-L$54)*O$54,D65&gt;=L$53, N$53+(D65-L$53)*O$53,D65&lt;L$53,D65*O$52),Setup!I$4=Lookups!D$111,-_xlfn.IFS(D65&gt;=L$62, N$62+(D65-L$62)*O$62,D65&gt;=L$61, N$61+(D65-L$61)*O$61,D65&gt;=L$60, N$60+(D65-L$60)*O$60,D65&lt;L$60,D65*O$59), Setup!I$4=Lookups!D$112,-_xlfn.IFS(D65&gt;=L$69, N$69+(D65-L$69)*O$69,D65&gt;=L$68, N$68+(D65-L$68)*O$68,D65&gt;=L$67, N$67+(D65-L$67)*O$67,D65&lt;L$67,D65*O$66)),0)</f>
        <v>0</v>
      </c>
      <c r="F65" s="18">
        <f t="shared" si="4"/>
        <v>0</v>
      </c>
      <c r="G65" s="1">
        <f t="shared" si="5"/>
        <v>0</v>
      </c>
      <c r="I65" s="1"/>
      <c r="J65" s="84"/>
      <c r="K65" s="90"/>
      <c r="L65" s="114" t="s">
        <v>103</v>
      </c>
      <c r="M65" s="46" t="s">
        <v>104</v>
      </c>
      <c r="N65" s="46" t="s">
        <v>105</v>
      </c>
      <c r="O65" s="115" t="s">
        <v>106</v>
      </c>
      <c r="P65" s="88"/>
      <c r="Q65" s="88"/>
      <c r="R65" s="48"/>
      <c r="S65" s="133"/>
      <c r="T65" s="48"/>
      <c r="U65" s="48"/>
      <c r="V65" s="130"/>
    </row>
    <row r="66" spans="1:22" x14ac:dyDescent="0.3">
      <c r="A66" s="1">
        <f t="shared" si="3"/>
        <v>0</v>
      </c>
      <c r="C66" s="1" cm="1">
        <f t="array" ref="C66">_xlfn.IFS(Projections!BJ66=0,0,AND(OR(Setup!I$4=Lookups!D$109,Setup!I$4=Lookups!D$112),Projections!BJ66&gt;P$15),0,AND(OR(Setup!I$4=Lookups!D$110,Setup!I$4=Lookups!D$111),Projections!BJ66&gt;P$14),0,AND(OR(Setup!I$4=Lookups!D$109,Setup!I$4=Lookups!D$112),Projections!BJ66&gt;O$15),VLOOKUP(Setup!I$4,K$17:P$20,6),AND(OR(Setup!I$4=Lookups!D$110,Setup!I$4=Lookups!D$111),Projections!BJ66&gt;O$14),VLOOKUP(Setup!I$4,K$17:P$20,6),AND(OR(Setup!I$4=Lookups!D$109,Setup!I$4=Lookups!D$112),Projections!BJ66&gt;N$15),VLOOKUP(Setup!I$4,K$17:P$20,5),AND(OR(Setup!I$4=Lookups!D$110,Setup!I$4=Lookups!D$111),Projections!BJ66&gt;N$14),VLOOKUP(Setup!I$4,K$17:P$20,5),AND(OR(Setup!I$4=Lookups!D$109,Setup!I$4=Lookups!D$112),Projections!BJ66&gt;M$15),VLOOKUP(Setup!I$4,K$17:P$20,4),AND(OR(Setup!I$4=Lookups!D$110,Setup!I$4=Lookups!D$111),Projections!BJ66&gt;M$14),VLOOKUP(Setup!I$4,K$17:P$20,4),AND(OR(Setup!I$4=Lookups!D$109,Setup!I$4=Lookups!D$112),Projections!BJ66&gt;L$15),VLOOKUP(Setup!I$4,K$17:P$20,3),AND(OR(Setup!I$4=Lookups!D$110,Setup!I$4=Lookups!D$111),Projections!BJ66&gt;L$14),VLOOKUP(Setup!I$4,K$17:P$20,3),AND(OR(Setup!I$4=Lookups!D$109,Setup!I$4=Lookups!D$112),Projections!BJ66&lt;L$15),VLOOKUP(Setup!I$4,K$17:P$20,2),AND(OR(Setup!I$4=Lookups!D$110,Setup!I$4=Lookups!D$111),Projections!BJ66&lt;L$14),VLOOKUP(Setup!I$4,K$17:P$20,2))</f>
        <v>0</v>
      </c>
      <c r="D66" s="1">
        <f>IF(Projections!AW66+Projections!BG66&gt;0,Projections!AW66+Projections!BG66-C66-VLOOKUP(Setup!I$4,K$23:L$26,2)-IF(VLOOKUP(Setup!I$4,K$31:L$34,2)&gt;Projections!AW66+Projections!BG66,IF(OR(Setup!I$4="Head of household",Setup!I$4="Married filing jointly"),2*L$29, L$29),0),0)</f>
        <v>0</v>
      </c>
      <c r="E66" s="1" cm="1">
        <f t="array" ref="E66">IF(D66&gt;0,_xlfn.IFS(Setup!I$4=Lookups!D$109,-_xlfn.IFS(D66&gt;=L$48, N$48+(D66-L$48)*O$48,D66&gt;=L$47, N$47+(D66-L$47)*O$47,D66&gt;=L$46,N$46+(D66-L$46)*O$46,D66&lt;L$46,D66*O$45),Setup!I$4=Lookups!D$110,-_xlfn.IFS(D66&gt;=L$55, N$55+(D66-L$55)*O$55,D66&gt;=L$54, N$54+(D66-L$54)*O$54,D66&gt;=L$53, N$53+(D66-L$53)*O$53,D66&lt;L$53,D66*O$52),Setup!I$4=Lookups!D$111,-_xlfn.IFS(D66&gt;=L$62, N$62+(D66-L$62)*O$62,D66&gt;=L$61, N$61+(D66-L$61)*O$61,D66&gt;=L$60, N$60+(D66-L$60)*O$60,D66&lt;L$60,D66*O$59), Setup!I$4=Lookups!D$112,-_xlfn.IFS(D66&gt;=L$69, N$69+(D66-L$69)*O$69,D66&gt;=L$68, N$68+(D66-L$68)*O$68,D66&gt;=L$67, N$67+(D66-L$67)*O$67,D66&lt;L$67,D66*O$66)),0)</f>
        <v>0</v>
      </c>
      <c r="F66" s="18">
        <f t="shared" si="4"/>
        <v>0</v>
      </c>
      <c r="G66" s="1">
        <f t="shared" si="5"/>
        <v>0</v>
      </c>
      <c r="I66" s="1"/>
      <c r="J66" s="84"/>
      <c r="K66" s="90"/>
      <c r="L66" s="116">
        <v>0</v>
      </c>
      <c r="M66" s="95">
        <f>L41</f>
        <v>3650</v>
      </c>
      <c r="N66" s="95"/>
      <c r="O66" s="124">
        <f>L$37</f>
        <v>4.7500000000000001E-2</v>
      </c>
      <c r="P66" s="88"/>
      <c r="Q66" s="88"/>
      <c r="R66" s="48"/>
      <c r="S66" s="48"/>
      <c r="T66" s="48"/>
      <c r="U66" s="48"/>
      <c r="V66" s="130"/>
    </row>
    <row r="67" spans="1:22" x14ac:dyDescent="0.3">
      <c r="A67" s="1">
        <f t="shared" si="3"/>
        <v>0</v>
      </c>
      <c r="C67" s="1" cm="1">
        <f t="array" ref="C67">_xlfn.IFS(Projections!BJ67=0,0,AND(OR(Setup!I$4=Lookups!D$109,Setup!I$4=Lookups!D$112),Projections!BJ67&gt;P$15),0,AND(OR(Setup!I$4=Lookups!D$110,Setup!I$4=Lookups!D$111),Projections!BJ67&gt;P$14),0,AND(OR(Setup!I$4=Lookups!D$109,Setup!I$4=Lookups!D$112),Projections!BJ67&gt;O$15),VLOOKUP(Setup!I$4,K$17:P$20,6),AND(OR(Setup!I$4=Lookups!D$110,Setup!I$4=Lookups!D$111),Projections!BJ67&gt;O$14),VLOOKUP(Setup!I$4,K$17:P$20,6),AND(OR(Setup!I$4=Lookups!D$109,Setup!I$4=Lookups!D$112),Projections!BJ67&gt;N$15),VLOOKUP(Setup!I$4,K$17:P$20,5),AND(OR(Setup!I$4=Lookups!D$110,Setup!I$4=Lookups!D$111),Projections!BJ67&gt;N$14),VLOOKUP(Setup!I$4,K$17:P$20,5),AND(OR(Setup!I$4=Lookups!D$109,Setup!I$4=Lookups!D$112),Projections!BJ67&gt;M$15),VLOOKUP(Setup!I$4,K$17:P$20,4),AND(OR(Setup!I$4=Lookups!D$110,Setup!I$4=Lookups!D$111),Projections!BJ67&gt;M$14),VLOOKUP(Setup!I$4,K$17:P$20,4),AND(OR(Setup!I$4=Lookups!D$109,Setup!I$4=Lookups!D$112),Projections!BJ67&gt;L$15),VLOOKUP(Setup!I$4,K$17:P$20,3),AND(OR(Setup!I$4=Lookups!D$110,Setup!I$4=Lookups!D$111),Projections!BJ67&gt;L$14),VLOOKUP(Setup!I$4,K$17:P$20,3),AND(OR(Setup!I$4=Lookups!D$109,Setup!I$4=Lookups!D$112),Projections!BJ67&lt;L$15),VLOOKUP(Setup!I$4,K$17:P$20,2),AND(OR(Setup!I$4=Lookups!D$110,Setup!I$4=Lookups!D$111),Projections!BJ67&lt;L$14),VLOOKUP(Setup!I$4,K$17:P$20,2))</f>
        <v>0</v>
      </c>
      <c r="D67" s="1">
        <f>IF(Projections!AW67+Projections!BG67&gt;0,Projections!AW67+Projections!BG67-C67-VLOOKUP(Setup!I$4,K$23:L$26,2)-IF(VLOOKUP(Setup!I$4,K$31:L$34,2)&gt;Projections!AW67+Projections!BG67,IF(OR(Setup!I$4="Head of household",Setup!I$4="Married filing jointly"),2*L$29, L$29),0),0)</f>
        <v>0</v>
      </c>
      <c r="E67" s="1" cm="1">
        <f t="array" ref="E67">IF(D67&gt;0,_xlfn.IFS(Setup!I$4=Lookups!D$109,-_xlfn.IFS(D67&gt;=L$48, N$48+(D67-L$48)*O$48,D67&gt;=L$47, N$47+(D67-L$47)*O$47,D67&gt;=L$46,N$46+(D67-L$46)*O$46,D67&lt;L$46,D67*O$45),Setup!I$4=Lookups!D$110,-_xlfn.IFS(D67&gt;=L$55, N$55+(D67-L$55)*O$55,D67&gt;=L$54, N$54+(D67-L$54)*O$54,D67&gt;=L$53, N$53+(D67-L$53)*O$53,D67&lt;L$53,D67*O$52),Setup!I$4=Lookups!D$111,-_xlfn.IFS(D67&gt;=L$62, N$62+(D67-L$62)*O$62,D67&gt;=L$61, N$61+(D67-L$61)*O$61,D67&gt;=L$60, N$60+(D67-L$60)*O$60,D67&lt;L$60,D67*O$59), Setup!I$4=Lookups!D$112,-_xlfn.IFS(D67&gt;=L$69, N$69+(D67-L$69)*O$69,D67&gt;=L$68, N$68+(D67-L$68)*O$68,D67&gt;=L$67, N$67+(D67-L$67)*O$67,D67&lt;L$67,D67*O$66)),0)</f>
        <v>0</v>
      </c>
      <c r="F67" s="18">
        <f t="shared" si="4"/>
        <v>0</v>
      </c>
      <c r="G67" s="1">
        <f t="shared" si="5"/>
        <v>0</v>
      </c>
      <c r="I67" s="1"/>
      <c r="J67" s="84"/>
      <c r="K67" s="90"/>
      <c r="L67" s="116">
        <f>M66+1</f>
        <v>3651</v>
      </c>
      <c r="M67" s="95">
        <f>M41</f>
        <v>9200</v>
      </c>
      <c r="N67" s="95">
        <f>L$37*L40</f>
        <v>173.375</v>
      </c>
      <c r="O67" s="124">
        <f>M$37</f>
        <v>6.7500000000000004E-2</v>
      </c>
      <c r="P67" s="88"/>
      <c r="Q67" s="88"/>
      <c r="R67" s="48"/>
      <c r="S67" s="48"/>
      <c r="T67" s="48"/>
      <c r="U67" s="48"/>
      <c r="V67" s="130"/>
    </row>
    <row r="68" spans="1:22" x14ac:dyDescent="0.3">
      <c r="A68" s="1">
        <f t="shared" si="3"/>
        <v>0</v>
      </c>
      <c r="C68" s="1" cm="1">
        <f t="array" ref="C68">_xlfn.IFS(Projections!BJ68=0,0,AND(OR(Setup!I$4=Lookups!D$109,Setup!I$4=Lookups!D$112),Projections!BJ68&gt;P$15),0,AND(OR(Setup!I$4=Lookups!D$110,Setup!I$4=Lookups!D$111),Projections!BJ68&gt;P$14),0,AND(OR(Setup!I$4=Lookups!D$109,Setup!I$4=Lookups!D$112),Projections!BJ68&gt;O$15),VLOOKUP(Setup!I$4,K$17:P$20,6),AND(OR(Setup!I$4=Lookups!D$110,Setup!I$4=Lookups!D$111),Projections!BJ68&gt;O$14),VLOOKUP(Setup!I$4,K$17:P$20,6),AND(OR(Setup!I$4=Lookups!D$109,Setup!I$4=Lookups!D$112),Projections!BJ68&gt;N$15),VLOOKUP(Setup!I$4,K$17:P$20,5),AND(OR(Setup!I$4=Lookups!D$110,Setup!I$4=Lookups!D$111),Projections!BJ68&gt;N$14),VLOOKUP(Setup!I$4,K$17:P$20,5),AND(OR(Setup!I$4=Lookups!D$109,Setup!I$4=Lookups!D$112),Projections!BJ68&gt;M$15),VLOOKUP(Setup!I$4,K$17:P$20,4),AND(OR(Setup!I$4=Lookups!D$110,Setup!I$4=Lookups!D$111),Projections!BJ68&gt;M$14),VLOOKUP(Setup!I$4,K$17:P$20,4),AND(OR(Setup!I$4=Lookups!D$109,Setup!I$4=Lookups!D$112),Projections!BJ68&gt;L$15),VLOOKUP(Setup!I$4,K$17:P$20,3),AND(OR(Setup!I$4=Lookups!D$110,Setup!I$4=Lookups!D$111),Projections!BJ68&gt;L$14),VLOOKUP(Setup!I$4,K$17:P$20,3),AND(OR(Setup!I$4=Lookups!D$109,Setup!I$4=Lookups!D$112),Projections!BJ68&lt;L$15),VLOOKUP(Setup!I$4,K$17:P$20,2),AND(OR(Setup!I$4=Lookups!D$110,Setup!I$4=Lookups!D$111),Projections!BJ68&lt;L$14),VLOOKUP(Setup!I$4,K$17:P$20,2))</f>
        <v>0</v>
      </c>
      <c r="D68" s="1">
        <f>IF(Projections!AW68+Projections!BG68&gt;0,Projections!AW68+Projections!BG68-C68-VLOOKUP(Setup!I$4,K$23:L$26,2)-IF(VLOOKUP(Setup!I$4,K$31:L$34,2)&gt;Projections!AW68+Projections!BG68,IF(OR(Setup!I$4="Head of household",Setup!I$4="Married filing jointly"),2*L$29, L$29),0),0)</f>
        <v>0</v>
      </c>
      <c r="E68" s="1" cm="1">
        <f t="array" ref="E68">IF(D68&gt;0,_xlfn.IFS(Setup!I$4=Lookups!D$109,-_xlfn.IFS(D68&gt;=L$48, N$48+(D68-L$48)*O$48,D68&gt;=L$47, N$47+(D68-L$47)*O$47,D68&gt;=L$46,N$46+(D68-L$46)*O$46,D68&lt;L$46,D68*O$45),Setup!I$4=Lookups!D$110,-_xlfn.IFS(D68&gt;=L$55, N$55+(D68-L$55)*O$55,D68&gt;=L$54, N$54+(D68-L$54)*O$54,D68&gt;=L$53, N$53+(D68-L$53)*O$53,D68&lt;L$53,D68*O$52),Setup!I$4=Lookups!D$111,-_xlfn.IFS(D68&gt;=L$62, N$62+(D68-L$62)*O$62,D68&gt;=L$61, N$61+(D68-L$61)*O$61,D68&gt;=L$60, N$60+(D68-L$60)*O$60,D68&lt;L$60,D68*O$59), Setup!I$4=Lookups!D$112,-_xlfn.IFS(D68&gt;=L$69, N$69+(D68-L$69)*O$69,D68&gt;=L$68, N$68+(D68-L$68)*O$68,D68&gt;=L$67, N$67+(D68-L$67)*O$67,D68&lt;L$67,D68*O$66)),0)</f>
        <v>0</v>
      </c>
      <c r="F68" s="18">
        <f t="shared" si="4"/>
        <v>0</v>
      </c>
      <c r="G68" s="1">
        <f t="shared" si="5"/>
        <v>0</v>
      </c>
      <c r="I68" s="1"/>
      <c r="J68" s="84"/>
      <c r="K68" s="90"/>
      <c r="L68" s="116">
        <f>M67+1</f>
        <v>9201</v>
      </c>
      <c r="M68" s="95">
        <f>N41</f>
        <v>125000</v>
      </c>
      <c r="N68" s="95">
        <f>M$37*M40</f>
        <v>621</v>
      </c>
      <c r="O68" s="124">
        <f>N$37</f>
        <v>8.7499999999999994E-2</v>
      </c>
      <c r="P68" s="88"/>
      <c r="Q68" s="88"/>
      <c r="R68" s="48"/>
      <c r="S68" s="48"/>
      <c r="T68" s="48"/>
      <c r="U68" s="48"/>
      <c r="V68" s="130"/>
    </row>
    <row r="69" spans="1:22" x14ac:dyDescent="0.3">
      <c r="A69" s="1">
        <f t="shared" si="3"/>
        <v>0</v>
      </c>
      <c r="C69" s="1" cm="1">
        <f t="array" ref="C69">_xlfn.IFS(Projections!BJ69=0,0,AND(OR(Setup!I$4=Lookups!D$109,Setup!I$4=Lookups!D$112),Projections!BJ69&gt;P$15),0,AND(OR(Setup!I$4=Lookups!D$110,Setup!I$4=Lookups!D$111),Projections!BJ69&gt;P$14),0,AND(OR(Setup!I$4=Lookups!D$109,Setup!I$4=Lookups!D$112),Projections!BJ69&gt;O$15),VLOOKUP(Setup!I$4,K$17:P$20,6),AND(OR(Setup!I$4=Lookups!D$110,Setup!I$4=Lookups!D$111),Projections!BJ69&gt;O$14),VLOOKUP(Setup!I$4,K$17:P$20,6),AND(OR(Setup!I$4=Lookups!D$109,Setup!I$4=Lookups!D$112),Projections!BJ69&gt;N$15),VLOOKUP(Setup!I$4,K$17:P$20,5),AND(OR(Setup!I$4=Lookups!D$110,Setup!I$4=Lookups!D$111),Projections!BJ69&gt;N$14),VLOOKUP(Setup!I$4,K$17:P$20,5),AND(OR(Setup!I$4=Lookups!D$109,Setup!I$4=Lookups!D$112),Projections!BJ69&gt;M$15),VLOOKUP(Setup!I$4,K$17:P$20,4),AND(OR(Setup!I$4=Lookups!D$110,Setup!I$4=Lookups!D$111),Projections!BJ69&gt;M$14),VLOOKUP(Setup!I$4,K$17:P$20,4),AND(OR(Setup!I$4=Lookups!D$109,Setup!I$4=Lookups!D$112),Projections!BJ69&gt;L$15),VLOOKUP(Setup!I$4,K$17:P$20,3),AND(OR(Setup!I$4=Lookups!D$110,Setup!I$4=Lookups!D$111),Projections!BJ69&gt;L$14),VLOOKUP(Setup!I$4,K$17:P$20,3),AND(OR(Setup!I$4=Lookups!D$109,Setup!I$4=Lookups!D$112),Projections!BJ69&lt;L$15),VLOOKUP(Setup!I$4,K$17:P$20,2),AND(OR(Setup!I$4=Lookups!D$110,Setup!I$4=Lookups!D$111),Projections!BJ69&lt;L$14),VLOOKUP(Setup!I$4,K$17:P$20,2))</f>
        <v>0</v>
      </c>
      <c r="D69" s="1">
        <f>IF(Projections!AW69+Projections!BG69&gt;0,Projections!AW69+Projections!BG69-C69-VLOOKUP(Setup!I$4,K$23:L$26,2)-IF(VLOOKUP(Setup!I$4,K$31:L$34,2)&gt;Projections!AW69+Projections!BG69,IF(OR(Setup!I$4="Head of household",Setup!I$4="Married filing jointly"),2*L$29, L$29),0),0)</f>
        <v>0</v>
      </c>
      <c r="E69" s="1" cm="1">
        <f t="array" ref="E69">IF(D69&gt;0,_xlfn.IFS(Setup!I$4=Lookups!D$109,-_xlfn.IFS(D69&gt;=L$48, N$48+(D69-L$48)*O$48,D69&gt;=L$47, N$47+(D69-L$47)*O$47,D69&gt;=L$46,N$46+(D69-L$46)*O$46,D69&lt;L$46,D69*O$45),Setup!I$4=Lookups!D$110,-_xlfn.IFS(D69&gt;=L$55, N$55+(D69-L$55)*O$55,D69&gt;=L$54, N$54+(D69-L$54)*O$54,D69&gt;=L$53, N$53+(D69-L$53)*O$53,D69&lt;L$53,D69*O$52),Setup!I$4=Lookups!D$111,-_xlfn.IFS(D69&gt;=L$62, N$62+(D69-L$62)*O$62,D69&gt;=L$61, N$61+(D69-L$61)*O$61,D69&gt;=L$60, N$60+(D69-L$60)*O$60,D69&lt;L$60,D69*O$59), Setup!I$4=Lookups!D$112,-_xlfn.IFS(D69&gt;=L$69, N$69+(D69-L$69)*O$69,D69&gt;=L$68, N$68+(D69-L$68)*O$68,D69&gt;=L$67, N$67+(D69-L$67)*O$67,D69&lt;L$67,D69*O$66)),0)</f>
        <v>0</v>
      </c>
      <c r="F69" s="18">
        <f t="shared" si="4"/>
        <v>0</v>
      </c>
      <c r="G69" s="1">
        <f t="shared" si="5"/>
        <v>0</v>
      </c>
      <c r="I69" s="1"/>
      <c r="J69" s="84"/>
      <c r="K69" s="90"/>
      <c r="L69" s="118">
        <f>M68+1</f>
        <v>125001</v>
      </c>
      <c r="M69" s="119"/>
      <c r="N69" s="119">
        <f>N$37*N40</f>
        <v>10937.5</v>
      </c>
      <c r="O69" s="125">
        <f>O$37</f>
        <v>9.9000000000000005E-2</v>
      </c>
      <c r="P69" s="88"/>
      <c r="Q69" s="88"/>
      <c r="R69" s="48"/>
      <c r="T69" s="48"/>
      <c r="U69" s="48"/>
      <c r="V69" s="130"/>
    </row>
    <row r="70" spans="1:22" x14ac:dyDescent="0.3">
      <c r="A70" s="1">
        <f t="shared" si="3"/>
        <v>0</v>
      </c>
      <c r="C70" s="1" cm="1">
        <f t="array" ref="C70">_xlfn.IFS(Projections!BJ70=0,0,AND(OR(Setup!I$4=Lookups!D$109,Setup!I$4=Lookups!D$112),Projections!BJ70&gt;P$15),0,AND(OR(Setup!I$4=Lookups!D$110,Setup!I$4=Lookups!D$111),Projections!BJ70&gt;P$14),0,AND(OR(Setup!I$4=Lookups!D$109,Setup!I$4=Lookups!D$112),Projections!BJ70&gt;O$15),VLOOKUP(Setup!I$4,K$17:P$20,6),AND(OR(Setup!I$4=Lookups!D$110,Setup!I$4=Lookups!D$111),Projections!BJ70&gt;O$14),VLOOKUP(Setup!I$4,K$17:P$20,6),AND(OR(Setup!I$4=Lookups!D$109,Setup!I$4=Lookups!D$112),Projections!BJ70&gt;N$15),VLOOKUP(Setup!I$4,K$17:P$20,5),AND(OR(Setup!I$4=Lookups!D$110,Setup!I$4=Lookups!D$111),Projections!BJ70&gt;N$14),VLOOKUP(Setup!I$4,K$17:P$20,5),AND(OR(Setup!I$4=Lookups!D$109,Setup!I$4=Lookups!D$112),Projections!BJ70&gt;M$15),VLOOKUP(Setup!I$4,K$17:P$20,4),AND(OR(Setup!I$4=Lookups!D$110,Setup!I$4=Lookups!D$111),Projections!BJ70&gt;M$14),VLOOKUP(Setup!I$4,K$17:P$20,4),AND(OR(Setup!I$4=Lookups!D$109,Setup!I$4=Lookups!D$112),Projections!BJ70&gt;L$15),VLOOKUP(Setup!I$4,K$17:P$20,3),AND(OR(Setup!I$4=Lookups!D$110,Setup!I$4=Lookups!D$111),Projections!BJ70&gt;L$14),VLOOKUP(Setup!I$4,K$17:P$20,3),AND(OR(Setup!I$4=Lookups!D$109,Setup!I$4=Lookups!D$112),Projections!BJ70&lt;L$15),VLOOKUP(Setup!I$4,K$17:P$20,2),AND(OR(Setup!I$4=Lookups!D$110,Setup!I$4=Lookups!D$111),Projections!BJ70&lt;L$14),VLOOKUP(Setup!I$4,K$17:P$20,2))</f>
        <v>0</v>
      </c>
      <c r="D70" s="1">
        <f>IF(Projections!AW70+Projections!BG70&gt;0,Projections!AW70+Projections!BG70-C70-VLOOKUP(Setup!I$4,K$23:L$26,2)-IF(VLOOKUP(Setup!I$4,K$31:L$34,2)&gt;Projections!AW70+Projections!BG70,IF(OR(Setup!I$4="Head of household",Setup!I$4="Married filing jointly"),2*L$29, L$29),0),0)</f>
        <v>0</v>
      </c>
      <c r="E70" s="1" cm="1">
        <f t="array" ref="E70">IF(D70&gt;0,_xlfn.IFS(Setup!I$4=Lookups!D$109,-_xlfn.IFS(D70&gt;=L$48, N$48+(D70-L$48)*O$48,D70&gt;=L$47, N$47+(D70-L$47)*O$47,D70&gt;=L$46,N$46+(D70-L$46)*O$46,D70&lt;L$46,D70*O$45),Setup!I$4=Lookups!D$110,-_xlfn.IFS(D70&gt;=L$55, N$55+(D70-L$55)*O$55,D70&gt;=L$54, N$54+(D70-L$54)*O$54,D70&gt;=L$53, N$53+(D70-L$53)*O$53,D70&lt;L$53,D70*O$52),Setup!I$4=Lookups!D$111,-_xlfn.IFS(D70&gt;=L$62, N$62+(D70-L$62)*O$62,D70&gt;=L$61, N$61+(D70-L$61)*O$61,D70&gt;=L$60, N$60+(D70-L$60)*O$60,D70&lt;L$60,D70*O$59), Setup!I$4=Lookups!D$112,-_xlfn.IFS(D70&gt;=L$69, N$69+(D70-L$69)*O$69,D70&gt;=L$68, N$68+(D70-L$68)*O$68,D70&gt;=L$67, N$67+(D70-L$67)*O$67,D70&lt;L$67,D70*O$66)),0)</f>
        <v>0</v>
      </c>
      <c r="F70" s="18">
        <f t="shared" si="4"/>
        <v>0</v>
      </c>
      <c r="G70" s="1">
        <f t="shared" si="5"/>
        <v>0</v>
      </c>
      <c r="I70" s="1"/>
      <c r="J70" s="121"/>
      <c r="K70" s="122"/>
      <c r="L70" s="123"/>
      <c r="M70" s="123"/>
      <c r="N70" s="123"/>
      <c r="O70" s="122"/>
      <c r="P70" s="99"/>
      <c r="Q70" s="99"/>
      <c r="R70" s="104"/>
      <c r="S70" s="104"/>
      <c r="T70" s="104"/>
      <c r="U70" s="104"/>
      <c r="V70" s="131"/>
    </row>
    <row r="71" spans="1:22" x14ac:dyDescent="0.3">
      <c r="A71" s="1">
        <f t="shared" ref="A71:A92" si="6">E71+G71</f>
        <v>0</v>
      </c>
      <c r="C71" s="1" cm="1">
        <f t="array" ref="C71">_xlfn.IFS(Projections!BJ71=0,0,AND(OR(Setup!I$4=Lookups!D$109,Setup!I$4=Lookups!D$112),Projections!BJ71&gt;P$15),0,AND(OR(Setup!I$4=Lookups!D$110,Setup!I$4=Lookups!D$111),Projections!BJ71&gt;P$14),0,AND(OR(Setup!I$4=Lookups!D$109,Setup!I$4=Lookups!D$112),Projections!BJ71&gt;O$15),VLOOKUP(Setup!I$4,K$17:P$20,6),AND(OR(Setup!I$4=Lookups!D$110,Setup!I$4=Lookups!D$111),Projections!BJ71&gt;O$14),VLOOKUP(Setup!I$4,K$17:P$20,6),AND(OR(Setup!I$4=Lookups!D$109,Setup!I$4=Lookups!D$112),Projections!BJ71&gt;N$15),VLOOKUP(Setup!I$4,K$17:P$20,5),AND(OR(Setup!I$4=Lookups!D$110,Setup!I$4=Lookups!D$111),Projections!BJ71&gt;N$14),VLOOKUP(Setup!I$4,K$17:P$20,5),AND(OR(Setup!I$4=Lookups!D$109,Setup!I$4=Lookups!D$112),Projections!BJ71&gt;M$15),VLOOKUP(Setup!I$4,K$17:P$20,4),AND(OR(Setup!I$4=Lookups!D$110,Setup!I$4=Lookups!D$111),Projections!BJ71&gt;M$14),VLOOKUP(Setup!I$4,K$17:P$20,4),AND(OR(Setup!I$4=Lookups!D$109,Setup!I$4=Lookups!D$112),Projections!BJ71&gt;L$15),VLOOKUP(Setup!I$4,K$17:P$20,3),AND(OR(Setup!I$4=Lookups!D$110,Setup!I$4=Lookups!D$111),Projections!BJ71&gt;L$14),VLOOKUP(Setup!I$4,K$17:P$20,3),AND(OR(Setup!I$4=Lookups!D$109,Setup!I$4=Lookups!D$112),Projections!BJ71&lt;L$15),VLOOKUP(Setup!I$4,K$17:P$20,2),AND(OR(Setup!I$4=Lookups!D$110,Setup!I$4=Lookups!D$111),Projections!BJ71&lt;L$14),VLOOKUP(Setup!I$4,K$17:P$20,2))</f>
        <v>0</v>
      </c>
      <c r="D71" s="1">
        <f>IF(Projections!AW71+Projections!BG71&gt;0,Projections!AW71+Projections!BG71-C71-VLOOKUP(Setup!I$4,K$23:L$26,2)-IF(VLOOKUP(Setup!I$4,K$31:L$34,2)&gt;Projections!AW71+Projections!BG71,IF(OR(Setup!I$4="Head of household",Setup!I$4="Married filing jointly"),2*L$29, L$29),0),0)</f>
        <v>0</v>
      </c>
      <c r="E71" s="1" cm="1">
        <f t="array" ref="E71">IF(D71&gt;0,_xlfn.IFS(Setup!I$4=Lookups!D$109,-_xlfn.IFS(D71&gt;=L$48, N$48+(D71-L$48)*O$48,D71&gt;=L$47, N$47+(D71-L$47)*O$47,D71&gt;=L$46,N$46+(D71-L$46)*O$46,D71&lt;L$46,D71*O$45),Setup!I$4=Lookups!D$110,-_xlfn.IFS(D71&gt;=L$55, N$55+(D71-L$55)*O$55,D71&gt;=L$54, N$54+(D71-L$54)*O$54,D71&gt;=L$53, N$53+(D71-L$53)*O$53,D71&lt;L$53,D71*O$52),Setup!I$4=Lookups!D$111,-_xlfn.IFS(D71&gt;=L$62, N$62+(D71-L$62)*O$62,D71&gt;=L$61, N$61+(D71-L$61)*O$61,D71&gt;=L$60, N$60+(D71-L$60)*O$60,D71&lt;L$60,D71*O$59), Setup!I$4=Lookups!D$112,-_xlfn.IFS(D71&gt;=L$69, N$69+(D71-L$69)*O$69,D71&gt;=L$68, N$68+(D71-L$68)*O$68,D71&gt;=L$67, N$67+(D71-L$67)*O$67,D71&lt;L$67,D71*O$66)),0)</f>
        <v>0</v>
      </c>
      <c r="F71" s="18">
        <f t="shared" ref="F71:F92" si="7">IF(D71=0,0,-E71/D71)</f>
        <v>0</v>
      </c>
      <c r="G71" s="1">
        <f t="shared" ref="G71:G92" si="8">IF(D71=0,0,(E71*F71^2)+(E71*F71^3)+(E71*F71^4)+(E71*F71^5)+(E71*F71^6)+(E71*F71^7)+(E71*F71^8)+(E71*F71^9)+(E71*F71^10))</f>
        <v>0</v>
      </c>
      <c r="I71" s="1"/>
    </row>
    <row r="72" spans="1:22" x14ac:dyDescent="0.3">
      <c r="A72" s="1">
        <f t="shared" si="6"/>
        <v>0</v>
      </c>
      <c r="C72" s="1" cm="1">
        <f t="array" ref="C72">_xlfn.IFS(Projections!BJ72=0,0,AND(OR(Setup!I$4=Lookups!D$109,Setup!I$4=Lookups!D$112),Projections!BJ72&gt;P$15),0,AND(OR(Setup!I$4=Lookups!D$110,Setup!I$4=Lookups!D$111),Projections!BJ72&gt;P$14),0,AND(OR(Setup!I$4=Lookups!D$109,Setup!I$4=Lookups!D$112),Projections!BJ72&gt;O$15),VLOOKUP(Setup!I$4,K$17:P$20,6),AND(OR(Setup!I$4=Lookups!D$110,Setup!I$4=Lookups!D$111),Projections!BJ72&gt;O$14),VLOOKUP(Setup!I$4,K$17:P$20,6),AND(OR(Setup!I$4=Lookups!D$109,Setup!I$4=Lookups!D$112),Projections!BJ72&gt;N$15),VLOOKUP(Setup!I$4,K$17:P$20,5),AND(OR(Setup!I$4=Lookups!D$110,Setup!I$4=Lookups!D$111),Projections!BJ72&gt;N$14),VLOOKUP(Setup!I$4,K$17:P$20,5),AND(OR(Setup!I$4=Lookups!D$109,Setup!I$4=Lookups!D$112),Projections!BJ72&gt;M$15),VLOOKUP(Setup!I$4,K$17:P$20,4),AND(OR(Setup!I$4=Lookups!D$110,Setup!I$4=Lookups!D$111),Projections!BJ72&gt;M$14),VLOOKUP(Setup!I$4,K$17:P$20,4),AND(OR(Setup!I$4=Lookups!D$109,Setup!I$4=Lookups!D$112),Projections!BJ72&gt;L$15),VLOOKUP(Setup!I$4,K$17:P$20,3),AND(OR(Setup!I$4=Lookups!D$110,Setup!I$4=Lookups!D$111),Projections!BJ72&gt;L$14),VLOOKUP(Setup!I$4,K$17:P$20,3),AND(OR(Setup!I$4=Lookups!D$109,Setup!I$4=Lookups!D$112),Projections!BJ72&lt;L$15),VLOOKUP(Setup!I$4,K$17:P$20,2),AND(OR(Setup!I$4=Lookups!D$110,Setup!I$4=Lookups!D$111),Projections!BJ72&lt;L$14),VLOOKUP(Setup!I$4,K$17:P$20,2))</f>
        <v>0</v>
      </c>
      <c r="D72" s="1">
        <f>IF(Projections!AW72+Projections!BG72&gt;0,Projections!AW72+Projections!BG72-C72-VLOOKUP(Setup!I$4,K$23:L$26,2)-IF(VLOOKUP(Setup!I$4,K$31:L$34,2)&gt;Projections!AW72+Projections!BG72,IF(OR(Setup!I$4="Head of household",Setup!I$4="Married filing jointly"),2*L$29, L$29),0),0)</f>
        <v>0</v>
      </c>
      <c r="E72" s="1" cm="1">
        <f t="array" ref="E72">IF(D72&gt;0,_xlfn.IFS(Setup!I$4=Lookups!D$109,-_xlfn.IFS(D72&gt;=L$48, N$48+(D72-L$48)*O$48,D72&gt;=L$47, N$47+(D72-L$47)*O$47,D72&gt;=L$46,N$46+(D72-L$46)*O$46,D72&lt;L$46,D72*O$45),Setup!I$4=Lookups!D$110,-_xlfn.IFS(D72&gt;=L$55, N$55+(D72-L$55)*O$55,D72&gt;=L$54, N$54+(D72-L$54)*O$54,D72&gt;=L$53, N$53+(D72-L$53)*O$53,D72&lt;L$53,D72*O$52),Setup!I$4=Lookups!D$111,-_xlfn.IFS(D72&gt;=L$62, N$62+(D72-L$62)*O$62,D72&gt;=L$61, N$61+(D72-L$61)*O$61,D72&gt;=L$60, N$60+(D72-L$60)*O$60,D72&lt;L$60,D72*O$59), Setup!I$4=Lookups!D$112,-_xlfn.IFS(D72&gt;=L$69, N$69+(D72-L$69)*O$69,D72&gt;=L$68, N$68+(D72-L$68)*O$68,D72&gt;=L$67, N$67+(D72-L$67)*O$67,D72&lt;L$67,D72*O$66)),0)</f>
        <v>0</v>
      </c>
      <c r="F72" s="18">
        <f t="shared" si="7"/>
        <v>0</v>
      </c>
      <c r="G72" s="1">
        <f t="shared" si="8"/>
        <v>0</v>
      </c>
      <c r="I72" s="1"/>
    </row>
    <row r="73" spans="1:22" x14ac:dyDescent="0.3">
      <c r="A73" s="1">
        <f t="shared" si="6"/>
        <v>0</v>
      </c>
      <c r="C73" s="1" cm="1">
        <f t="array" ref="C73">_xlfn.IFS(Projections!BJ73=0,0,AND(OR(Setup!I$4=Lookups!D$109,Setup!I$4=Lookups!D$112),Projections!BJ73&gt;P$15),0,AND(OR(Setup!I$4=Lookups!D$110,Setup!I$4=Lookups!D$111),Projections!BJ73&gt;P$14),0,AND(OR(Setup!I$4=Lookups!D$109,Setup!I$4=Lookups!D$112),Projections!BJ73&gt;O$15),VLOOKUP(Setup!I$4,K$17:P$20,6),AND(OR(Setup!I$4=Lookups!D$110,Setup!I$4=Lookups!D$111),Projections!BJ73&gt;O$14),VLOOKUP(Setup!I$4,K$17:P$20,6),AND(OR(Setup!I$4=Lookups!D$109,Setup!I$4=Lookups!D$112),Projections!BJ73&gt;N$15),VLOOKUP(Setup!I$4,K$17:P$20,5),AND(OR(Setup!I$4=Lookups!D$110,Setup!I$4=Lookups!D$111),Projections!BJ73&gt;N$14),VLOOKUP(Setup!I$4,K$17:P$20,5),AND(OR(Setup!I$4=Lookups!D$109,Setup!I$4=Lookups!D$112),Projections!BJ73&gt;M$15),VLOOKUP(Setup!I$4,K$17:P$20,4),AND(OR(Setup!I$4=Lookups!D$110,Setup!I$4=Lookups!D$111),Projections!BJ73&gt;M$14),VLOOKUP(Setup!I$4,K$17:P$20,4),AND(OR(Setup!I$4=Lookups!D$109,Setup!I$4=Lookups!D$112),Projections!BJ73&gt;L$15),VLOOKUP(Setup!I$4,K$17:P$20,3),AND(OR(Setup!I$4=Lookups!D$110,Setup!I$4=Lookups!D$111),Projections!BJ73&gt;L$14),VLOOKUP(Setup!I$4,K$17:P$20,3),AND(OR(Setup!I$4=Lookups!D$109,Setup!I$4=Lookups!D$112),Projections!BJ73&lt;L$15),VLOOKUP(Setup!I$4,K$17:P$20,2),AND(OR(Setup!I$4=Lookups!D$110,Setup!I$4=Lookups!D$111),Projections!BJ73&lt;L$14),VLOOKUP(Setup!I$4,K$17:P$20,2))</f>
        <v>0</v>
      </c>
      <c r="D73" s="1">
        <f>IF(Projections!AW73+Projections!BG73&gt;0,Projections!AW73+Projections!BG73-C73-VLOOKUP(Setup!I$4,K$23:L$26,2)-IF(VLOOKUP(Setup!I$4,K$31:L$34,2)&gt;Projections!AW73+Projections!BG73,IF(OR(Setup!I$4="Head of household",Setup!I$4="Married filing jointly"),2*L$29, L$29),0),0)</f>
        <v>0</v>
      </c>
      <c r="E73" s="1" cm="1">
        <f t="array" ref="E73">IF(D73&gt;0,_xlfn.IFS(Setup!I$4=Lookups!D$109,-_xlfn.IFS(D73&gt;=L$48, N$48+(D73-L$48)*O$48,D73&gt;=L$47, N$47+(D73-L$47)*O$47,D73&gt;=L$46,N$46+(D73-L$46)*O$46,D73&lt;L$46,D73*O$45),Setup!I$4=Lookups!D$110,-_xlfn.IFS(D73&gt;=L$55, N$55+(D73-L$55)*O$55,D73&gt;=L$54, N$54+(D73-L$54)*O$54,D73&gt;=L$53, N$53+(D73-L$53)*O$53,D73&lt;L$53,D73*O$52),Setup!I$4=Lookups!D$111,-_xlfn.IFS(D73&gt;=L$62, N$62+(D73-L$62)*O$62,D73&gt;=L$61, N$61+(D73-L$61)*O$61,D73&gt;=L$60, N$60+(D73-L$60)*O$60,D73&lt;L$60,D73*O$59), Setup!I$4=Lookups!D$112,-_xlfn.IFS(D73&gt;=L$69, N$69+(D73-L$69)*O$69,D73&gt;=L$68, N$68+(D73-L$68)*O$68,D73&gt;=L$67, N$67+(D73-L$67)*O$67,D73&lt;L$67,D73*O$66)),0)</f>
        <v>0</v>
      </c>
      <c r="F73" s="18">
        <f t="shared" si="7"/>
        <v>0</v>
      </c>
      <c r="G73" s="1">
        <f t="shared" si="8"/>
        <v>0</v>
      </c>
      <c r="I73" s="1"/>
    </row>
    <row r="74" spans="1:22" x14ac:dyDescent="0.3">
      <c r="A74" s="1">
        <f t="shared" si="6"/>
        <v>0</v>
      </c>
      <c r="C74" s="1" cm="1">
        <f t="array" ref="C74">_xlfn.IFS(Projections!BJ74=0,0,AND(OR(Setup!I$4=Lookups!D$109,Setup!I$4=Lookups!D$112),Projections!BJ74&gt;P$15),0,AND(OR(Setup!I$4=Lookups!D$110,Setup!I$4=Lookups!D$111),Projections!BJ74&gt;P$14),0,AND(OR(Setup!I$4=Lookups!D$109,Setup!I$4=Lookups!D$112),Projections!BJ74&gt;O$15),VLOOKUP(Setup!I$4,K$17:P$20,6),AND(OR(Setup!I$4=Lookups!D$110,Setup!I$4=Lookups!D$111),Projections!BJ74&gt;O$14),VLOOKUP(Setup!I$4,K$17:P$20,6),AND(OR(Setup!I$4=Lookups!D$109,Setup!I$4=Lookups!D$112),Projections!BJ74&gt;N$15),VLOOKUP(Setup!I$4,K$17:P$20,5),AND(OR(Setup!I$4=Lookups!D$110,Setup!I$4=Lookups!D$111),Projections!BJ74&gt;N$14),VLOOKUP(Setup!I$4,K$17:P$20,5),AND(OR(Setup!I$4=Lookups!D$109,Setup!I$4=Lookups!D$112),Projections!BJ74&gt;M$15),VLOOKUP(Setup!I$4,K$17:P$20,4),AND(OR(Setup!I$4=Lookups!D$110,Setup!I$4=Lookups!D$111),Projections!BJ74&gt;M$14),VLOOKUP(Setup!I$4,K$17:P$20,4),AND(OR(Setup!I$4=Lookups!D$109,Setup!I$4=Lookups!D$112),Projections!BJ74&gt;L$15),VLOOKUP(Setup!I$4,K$17:P$20,3),AND(OR(Setup!I$4=Lookups!D$110,Setup!I$4=Lookups!D$111),Projections!BJ74&gt;L$14),VLOOKUP(Setup!I$4,K$17:P$20,3),AND(OR(Setup!I$4=Lookups!D$109,Setup!I$4=Lookups!D$112),Projections!BJ74&lt;L$15),VLOOKUP(Setup!I$4,K$17:P$20,2),AND(OR(Setup!I$4=Lookups!D$110,Setup!I$4=Lookups!D$111),Projections!BJ74&lt;L$14),VLOOKUP(Setup!I$4,K$17:P$20,2))</f>
        <v>0</v>
      </c>
      <c r="D74" s="1">
        <f>IF(Projections!AW74+Projections!BG74&gt;0,Projections!AW74+Projections!BG74-C74-VLOOKUP(Setup!I$4,K$23:L$26,2)-IF(VLOOKUP(Setup!I$4,K$31:L$34,2)&gt;Projections!AW74+Projections!BG74,IF(OR(Setup!I$4="Head of household",Setup!I$4="Married filing jointly"),2*L$29, L$29),0),0)</f>
        <v>0</v>
      </c>
      <c r="E74" s="1" cm="1">
        <f t="array" ref="E74">IF(D74&gt;0,_xlfn.IFS(Setup!I$4=Lookups!D$109,-_xlfn.IFS(D74&gt;=L$48, N$48+(D74-L$48)*O$48,D74&gt;=L$47, N$47+(D74-L$47)*O$47,D74&gt;=L$46,N$46+(D74-L$46)*O$46,D74&lt;L$46,D74*O$45),Setup!I$4=Lookups!D$110,-_xlfn.IFS(D74&gt;=L$55, N$55+(D74-L$55)*O$55,D74&gt;=L$54, N$54+(D74-L$54)*O$54,D74&gt;=L$53, N$53+(D74-L$53)*O$53,D74&lt;L$53,D74*O$52),Setup!I$4=Lookups!D$111,-_xlfn.IFS(D74&gt;=L$62, N$62+(D74-L$62)*O$62,D74&gt;=L$61, N$61+(D74-L$61)*O$61,D74&gt;=L$60, N$60+(D74-L$60)*O$60,D74&lt;L$60,D74*O$59), Setup!I$4=Lookups!D$112,-_xlfn.IFS(D74&gt;=L$69, N$69+(D74-L$69)*O$69,D74&gt;=L$68, N$68+(D74-L$68)*O$68,D74&gt;=L$67, N$67+(D74-L$67)*O$67,D74&lt;L$67,D74*O$66)),0)</f>
        <v>0</v>
      </c>
      <c r="F74" s="18">
        <f t="shared" si="7"/>
        <v>0</v>
      </c>
      <c r="G74" s="1">
        <f t="shared" si="8"/>
        <v>0</v>
      </c>
      <c r="I74" s="1"/>
    </row>
    <row r="75" spans="1:22" x14ac:dyDescent="0.3">
      <c r="A75" s="1">
        <f t="shared" si="6"/>
        <v>0</v>
      </c>
      <c r="C75" s="1" cm="1">
        <f t="array" ref="C75">_xlfn.IFS(Projections!BJ75=0,0,AND(OR(Setup!I$4=Lookups!D$109,Setup!I$4=Lookups!D$112),Projections!BJ75&gt;P$15),0,AND(OR(Setup!I$4=Lookups!D$110,Setup!I$4=Lookups!D$111),Projections!BJ75&gt;P$14),0,AND(OR(Setup!I$4=Lookups!D$109,Setup!I$4=Lookups!D$112),Projections!BJ75&gt;O$15),VLOOKUP(Setup!I$4,K$17:P$20,6),AND(OR(Setup!I$4=Lookups!D$110,Setup!I$4=Lookups!D$111),Projections!BJ75&gt;O$14),VLOOKUP(Setup!I$4,K$17:P$20,6),AND(OR(Setup!I$4=Lookups!D$109,Setup!I$4=Lookups!D$112),Projections!BJ75&gt;N$15),VLOOKUP(Setup!I$4,K$17:P$20,5),AND(OR(Setup!I$4=Lookups!D$110,Setup!I$4=Lookups!D$111),Projections!BJ75&gt;N$14),VLOOKUP(Setup!I$4,K$17:P$20,5),AND(OR(Setup!I$4=Lookups!D$109,Setup!I$4=Lookups!D$112),Projections!BJ75&gt;M$15),VLOOKUP(Setup!I$4,K$17:P$20,4),AND(OR(Setup!I$4=Lookups!D$110,Setup!I$4=Lookups!D$111),Projections!BJ75&gt;M$14),VLOOKUP(Setup!I$4,K$17:P$20,4),AND(OR(Setup!I$4=Lookups!D$109,Setup!I$4=Lookups!D$112),Projections!BJ75&gt;L$15),VLOOKUP(Setup!I$4,K$17:P$20,3),AND(OR(Setup!I$4=Lookups!D$110,Setup!I$4=Lookups!D$111),Projections!BJ75&gt;L$14),VLOOKUP(Setup!I$4,K$17:P$20,3),AND(OR(Setup!I$4=Lookups!D$109,Setup!I$4=Lookups!D$112),Projections!BJ75&lt;L$15),VLOOKUP(Setup!I$4,K$17:P$20,2),AND(OR(Setup!I$4=Lookups!D$110,Setup!I$4=Lookups!D$111),Projections!BJ75&lt;L$14),VLOOKUP(Setup!I$4,K$17:P$20,2))</f>
        <v>0</v>
      </c>
      <c r="D75" s="1">
        <f>IF(Projections!AW75+Projections!BG75&gt;0,Projections!AW75+Projections!BG75-C75-VLOOKUP(Setup!I$4,K$23:L$26,2)-IF(VLOOKUP(Setup!I$4,K$31:L$34,2)&gt;Projections!AW75+Projections!BG75,IF(OR(Setup!I$4="Head of household",Setup!I$4="Married filing jointly"),2*L$29, L$29),0),0)</f>
        <v>0</v>
      </c>
      <c r="E75" s="1" cm="1">
        <f t="array" ref="E75">IF(D75&gt;0,_xlfn.IFS(Setup!I$4=Lookups!D$109,-_xlfn.IFS(D75&gt;=L$48, N$48+(D75-L$48)*O$48,D75&gt;=L$47, N$47+(D75-L$47)*O$47,D75&gt;=L$46,N$46+(D75-L$46)*O$46,D75&lt;L$46,D75*O$45),Setup!I$4=Lookups!D$110,-_xlfn.IFS(D75&gt;=L$55, N$55+(D75-L$55)*O$55,D75&gt;=L$54, N$54+(D75-L$54)*O$54,D75&gt;=L$53, N$53+(D75-L$53)*O$53,D75&lt;L$53,D75*O$52),Setup!I$4=Lookups!D$111,-_xlfn.IFS(D75&gt;=L$62, N$62+(D75-L$62)*O$62,D75&gt;=L$61, N$61+(D75-L$61)*O$61,D75&gt;=L$60, N$60+(D75-L$60)*O$60,D75&lt;L$60,D75*O$59), Setup!I$4=Lookups!D$112,-_xlfn.IFS(D75&gt;=L$69, N$69+(D75-L$69)*O$69,D75&gt;=L$68, N$68+(D75-L$68)*O$68,D75&gt;=L$67, N$67+(D75-L$67)*O$67,D75&lt;L$67,D75*O$66)),0)</f>
        <v>0</v>
      </c>
      <c r="F75" s="18">
        <f t="shared" si="7"/>
        <v>0</v>
      </c>
      <c r="G75" s="1">
        <f t="shared" si="8"/>
        <v>0</v>
      </c>
      <c r="I75" s="1"/>
    </row>
    <row r="76" spans="1:22" x14ac:dyDescent="0.3">
      <c r="A76" s="1">
        <f t="shared" si="6"/>
        <v>0</v>
      </c>
      <c r="C76" s="1" cm="1">
        <f t="array" ref="C76">_xlfn.IFS(Projections!BJ76=0,0,AND(OR(Setup!I$4=Lookups!D$109,Setup!I$4=Lookups!D$112),Projections!BJ76&gt;P$15),0,AND(OR(Setup!I$4=Lookups!D$110,Setup!I$4=Lookups!D$111),Projections!BJ76&gt;P$14),0,AND(OR(Setup!I$4=Lookups!D$109,Setup!I$4=Lookups!D$112),Projections!BJ76&gt;O$15),VLOOKUP(Setup!I$4,K$17:P$20,6),AND(OR(Setup!I$4=Lookups!D$110,Setup!I$4=Lookups!D$111),Projections!BJ76&gt;O$14),VLOOKUP(Setup!I$4,K$17:P$20,6),AND(OR(Setup!I$4=Lookups!D$109,Setup!I$4=Lookups!D$112),Projections!BJ76&gt;N$15),VLOOKUP(Setup!I$4,K$17:P$20,5),AND(OR(Setup!I$4=Lookups!D$110,Setup!I$4=Lookups!D$111),Projections!BJ76&gt;N$14),VLOOKUP(Setup!I$4,K$17:P$20,5),AND(OR(Setup!I$4=Lookups!D$109,Setup!I$4=Lookups!D$112),Projections!BJ76&gt;M$15),VLOOKUP(Setup!I$4,K$17:P$20,4),AND(OR(Setup!I$4=Lookups!D$110,Setup!I$4=Lookups!D$111),Projections!BJ76&gt;M$14),VLOOKUP(Setup!I$4,K$17:P$20,4),AND(OR(Setup!I$4=Lookups!D$109,Setup!I$4=Lookups!D$112),Projections!BJ76&gt;L$15),VLOOKUP(Setup!I$4,K$17:P$20,3),AND(OR(Setup!I$4=Lookups!D$110,Setup!I$4=Lookups!D$111),Projections!BJ76&gt;L$14),VLOOKUP(Setup!I$4,K$17:P$20,3),AND(OR(Setup!I$4=Lookups!D$109,Setup!I$4=Lookups!D$112),Projections!BJ76&lt;L$15),VLOOKUP(Setup!I$4,K$17:P$20,2),AND(OR(Setup!I$4=Lookups!D$110,Setup!I$4=Lookups!D$111),Projections!BJ76&lt;L$14),VLOOKUP(Setup!I$4,K$17:P$20,2))</f>
        <v>0</v>
      </c>
      <c r="D76" s="1">
        <f>IF(Projections!AW76+Projections!BG76&gt;0,Projections!AW76+Projections!BG76-C76-VLOOKUP(Setup!I$4,K$23:L$26,2)-IF(VLOOKUP(Setup!I$4,K$31:L$34,2)&gt;Projections!AW76+Projections!BG76,IF(OR(Setup!I$4="Head of household",Setup!I$4="Married filing jointly"),2*L$29, L$29),0),0)</f>
        <v>0</v>
      </c>
      <c r="E76" s="1" cm="1">
        <f t="array" ref="E76">IF(D76&gt;0,_xlfn.IFS(Setup!I$4=Lookups!D$109,-_xlfn.IFS(D76&gt;=L$48, N$48+(D76-L$48)*O$48,D76&gt;=L$47, N$47+(D76-L$47)*O$47,D76&gt;=L$46,N$46+(D76-L$46)*O$46,D76&lt;L$46,D76*O$45),Setup!I$4=Lookups!D$110,-_xlfn.IFS(D76&gt;=L$55, N$55+(D76-L$55)*O$55,D76&gt;=L$54, N$54+(D76-L$54)*O$54,D76&gt;=L$53, N$53+(D76-L$53)*O$53,D76&lt;L$53,D76*O$52),Setup!I$4=Lookups!D$111,-_xlfn.IFS(D76&gt;=L$62, N$62+(D76-L$62)*O$62,D76&gt;=L$61, N$61+(D76-L$61)*O$61,D76&gt;=L$60, N$60+(D76-L$60)*O$60,D76&lt;L$60,D76*O$59), Setup!I$4=Lookups!D$112,-_xlfn.IFS(D76&gt;=L$69, N$69+(D76-L$69)*O$69,D76&gt;=L$68, N$68+(D76-L$68)*O$68,D76&gt;=L$67, N$67+(D76-L$67)*O$67,D76&lt;L$67,D76*O$66)),0)</f>
        <v>0</v>
      </c>
      <c r="F76" s="18">
        <f t="shared" si="7"/>
        <v>0</v>
      </c>
      <c r="G76" s="1">
        <f t="shared" si="8"/>
        <v>0</v>
      </c>
      <c r="I76" s="1"/>
    </row>
    <row r="77" spans="1:22" x14ac:dyDescent="0.3">
      <c r="A77" s="1">
        <f t="shared" si="6"/>
        <v>0</v>
      </c>
      <c r="C77" s="1" cm="1">
        <f t="array" ref="C77">_xlfn.IFS(Projections!BJ77=0,0,AND(OR(Setup!I$4=Lookups!D$109,Setup!I$4=Lookups!D$112),Projections!BJ77&gt;P$15),0,AND(OR(Setup!I$4=Lookups!D$110,Setup!I$4=Lookups!D$111),Projections!BJ77&gt;P$14),0,AND(OR(Setup!I$4=Lookups!D$109,Setup!I$4=Lookups!D$112),Projections!BJ77&gt;O$15),VLOOKUP(Setup!I$4,K$17:P$20,6),AND(OR(Setup!I$4=Lookups!D$110,Setup!I$4=Lookups!D$111),Projections!BJ77&gt;O$14),VLOOKUP(Setup!I$4,K$17:P$20,6),AND(OR(Setup!I$4=Lookups!D$109,Setup!I$4=Lookups!D$112),Projections!BJ77&gt;N$15),VLOOKUP(Setup!I$4,K$17:P$20,5),AND(OR(Setup!I$4=Lookups!D$110,Setup!I$4=Lookups!D$111),Projections!BJ77&gt;N$14),VLOOKUP(Setup!I$4,K$17:P$20,5),AND(OR(Setup!I$4=Lookups!D$109,Setup!I$4=Lookups!D$112),Projections!BJ77&gt;M$15),VLOOKUP(Setup!I$4,K$17:P$20,4),AND(OR(Setup!I$4=Lookups!D$110,Setup!I$4=Lookups!D$111),Projections!BJ77&gt;M$14),VLOOKUP(Setup!I$4,K$17:P$20,4),AND(OR(Setup!I$4=Lookups!D$109,Setup!I$4=Lookups!D$112),Projections!BJ77&gt;L$15),VLOOKUP(Setup!I$4,K$17:P$20,3),AND(OR(Setup!I$4=Lookups!D$110,Setup!I$4=Lookups!D$111),Projections!BJ77&gt;L$14),VLOOKUP(Setup!I$4,K$17:P$20,3),AND(OR(Setup!I$4=Lookups!D$109,Setup!I$4=Lookups!D$112),Projections!BJ77&lt;L$15),VLOOKUP(Setup!I$4,K$17:P$20,2),AND(OR(Setup!I$4=Lookups!D$110,Setup!I$4=Lookups!D$111),Projections!BJ77&lt;L$14),VLOOKUP(Setup!I$4,K$17:P$20,2))</f>
        <v>0</v>
      </c>
      <c r="D77" s="1">
        <f>IF(Projections!AW77+Projections!BG77&gt;0,Projections!AW77+Projections!BG77-C77-VLOOKUP(Setup!I$4,K$23:L$26,2)-IF(VLOOKUP(Setup!I$4,K$31:L$34,2)&gt;Projections!AW77+Projections!BG77,IF(OR(Setup!I$4="Head of household",Setup!I$4="Married filing jointly"),2*L$29, L$29),0),0)</f>
        <v>0</v>
      </c>
      <c r="E77" s="1" cm="1">
        <f t="array" ref="E77">IF(D77&gt;0,_xlfn.IFS(Setup!I$4=Lookups!D$109,-_xlfn.IFS(D77&gt;=L$48, N$48+(D77-L$48)*O$48,D77&gt;=L$47, N$47+(D77-L$47)*O$47,D77&gt;=L$46,N$46+(D77-L$46)*O$46,D77&lt;L$46,D77*O$45),Setup!I$4=Lookups!D$110,-_xlfn.IFS(D77&gt;=L$55, N$55+(D77-L$55)*O$55,D77&gt;=L$54, N$54+(D77-L$54)*O$54,D77&gt;=L$53, N$53+(D77-L$53)*O$53,D77&lt;L$53,D77*O$52),Setup!I$4=Lookups!D$111,-_xlfn.IFS(D77&gt;=L$62, N$62+(D77-L$62)*O$62,D77&gt;=L$61, N$61+(D77-L$61)*O$61,D77&gt;=L$60, N$60+(D77-L$60)*O$60,D77&lt;L$60,D77*O$59), Setup!I$4=Lookups!D$112,-_xlfn.IFS(D77&gt;=L$69, N$69+(D77-L$69)*O$69,D77&gt;=L$68, N$68+(D77-L$68)*O$68,D77&gt;=L$67, N$67+(D77-L$67)*O$67,D77&lt;L$67,D77*O$66)),0)</f>
        <v>0</v>
      </c>
      <c r="F77" s="18">
        <f t="shared" si="7"/>
        <v>0</v>
      </c>
      <c r="G77" s="1">
        <f t="shared" si="8"/>
        <v>0</v>
      </c>
      <c r="I77" s="1"/>
      <c r="J77" s="1"/>
    </row>
    <row r="78" spans="1:22" x14ac:dyDescent="0.3">
      <c r="A78" s="1">
        <f t="shared" si="6"/>
        <v>0</v>
      </c>
      <c r="C78" s="1" cm="1">
        <f t="array" ref="C78">_xlfn.IFS(Projections!BJ78=0,0,AND(OR(Setup!I$4=Lookups!D$109,Setup!I$4=Lookups!D$112),Projections!BJ78&gt;P$15),0,AND(OR(Setup!I$4=Lookups!D$110,Setup!I$4=Lookups!D$111),Projections!BJ78&gt;P$14),0,AND(OR(Setup!I$4=Lookups!D$109,Setup!I$4=Lookups!D$112),Projections!BJ78&gt;O$15),VLOOKUP(Setup!I$4,K$17:P$20,6),AND(OR(Setup!I$4=Lookups!D$110,Setup!I$4=Lookups!D$111),Projections!BJ78&gt;O$14),VLOOKUP(Setup!I$4,K$17:P$20,6),AND(OR(Setup!I$4=Lookups!D$109,Setup!I$4=Lookups!D$112),Projections!BJ78&gt;N$15),VLOOKUP(Setup!I$4,K$17:P$20,5),AND(OR(Setup!I$4=Lookups!D$110,Setup!I$4=Lookups!D$111),Projections!BJ78&gt;N$14),VLOOKUP(Setup!I$4,K$17:P$20,5),AND(OR(Setup!I$4=Lookups!D$109,Setup!I$4=Lookups!D$112),Projections!BJ78&gt;M$15),VLOOKUP(Setup!I$4,K$17:P$20,4),AND(OR(Setup!I$4=Lookups!D$110,Setup!I$4=Lookups!D$111),Projections!BJ78&gt;M$14),VLOOKUP(Setup!I$4,K$17:P$20,4),AND(OR(Setup!I$4=Lookups!D$109,Setup!I$4=Lookups!D$112),Projections!BJ78&gt;L$15),VLOOKUP(Setup!I$4,K$17:P$20,3),AND(OR(Setup!I$4=Lookups!D$110,Setup!I$4=Lookups!D$111),Projections!BJ78&gt;L$14),VLOOKUP(Setup!I$4,K$17:P$20,3),AND(OR(Setup!I$4=Lookups!D$109,Setup!I$4=Lookups!D$112),Projections!BJ78&lt;L$15),VLOOKUP(Setup!I$4,K$17:P$20,2),AND(OR(Setup!I$4=Lookups!D$110,Setup!I$4=Lookups!D$111),Projections!BJ78&lt;L$14),VLOOKUP(Setup!I$4,K$17:P$20,2))</f>
        <v>0</v>
      </c>
      <c r="D78" s="1">
        <f>IF(Projections!AW78+Projections!BG78&gt;0,Projections!AW78+Projections!BG78-C78-VLOOKUP(Setup!I$4,K$23:L$26,2)-IF(VLOOKUP(Setup!I$4,K$31:L$34,2)&gt;Projections!AW78+Projections!BG78,IF(OR(Setup!I$4="Head of household",Setup!I$4="Married filing jointly"),2*L$29, L$29),0),0)</f>
        <v>0</v>
      </c>
      <c r="E78" s="1" cm="1">
        <f t="array" ref="E78">IF(D78&gt;0,_xlfn.IFS(Setup!I$4=Lookups!D$109,-_xlfn.IFS(D78&gt;=L$48, N$48+(D78-L$48)*O$48,D78&gt;=L$47, N$47+(D78-L$47)*O$47,D78&gt;=L$46,N$46+(D78-L$46)*O$46,D78&lt;L$46,D78*O$45),Setup!I$4=Lookups!D$110,-_xlfn.IFS(D78&gt;=L$55, N$55+(D78-L$55)*O$55,D78&gt;=L$54, N$54+(D78-L$54)*O$54,D78&gt;=L$53, N$53+(D78-L$53)*O$53,D78&lt;L$53,D78*O$52),Setup!I$4=Lookups!D$111,-_xlfn.IFS(D78&gt;=L$62, N$62+(D78-L$62)*O$62,D78&gt;=L$61, N$61+(D78-L$61)*O$61,D78&gt;=L$60, N$60+(D78-L$60)*O$60,D78&lt;L$60,D78*O$59), Setup!I$4=Lookups!D$112,-_xlfn.IFS(D78&gt;=L$69, N$69+(D78-L$69)*O$69,D78&gt;=L$68, N$68+(D78-L$68)*O$68,D78&gt;=L$67, N$67+(D78-L$67)*O$67,D78&lt;L$67,D78*O$66)),0)</f>
        <v>0</v>
      </c>
      <c r="F78" s="18">
        <f t="shared" si="7"/>
        <v>0</v>
      </c>
      <c r="G78" s="1">
        <f t="shared" si="8"/>
        <v>0</v>
      </c>
      <c r="I78" s="1"/>
      <c r="J78" s="1"/>
    </row>
    <row r="79" spans="1:22" x14ac:dyDescent="0.3">
      <c r="A79" s="1">
        <f t="shared" si="6"/>
        <v>0</v>
      </c>
      <c r="C79" s="1" cm="1">
        <f t="array" ref="C79">_xlfn.IFS(Projections!BJ79=0,0,AND(OR(Setup!I$4=Lookups!D$109,Setup!I$4=Lookups!D$112),Projections!BJ79&gt;P$15),0,AND(OR(Setup!I$4=Lookups!D$110,Setup!I$4=Lookups!D$111),Projections!BJ79&gt;P$14),0,AND(OR(Setup!I$4=Lookups!D$109,Setup!I$4=Lookups!D$112),Projections!BJ79&gt;O$15),VLOOKUP(Setup!I$4,K$17:P$20,6),AND(OR(Setup!I$4=Lookups!D$110,Setup!I$4=Lookups!D$111),Projections!BJ79&gt;O$14),VLOOKUP(Setup!I$4,K$17:P$20,6),AND(OR(Setup!I$4=Lookups!D$109,Setup!I$4=Lookups!D$112),Projections!BJ79&gt;N$15),VLOOKUP(Setup!I$4,K$17:P$20,5),AND(OR(Setup!I$4=Lookups!D$110,Setup!I$4=Lookups!D$111),Projections!BJ79&gt;N$14),VLOOKUP(Setup!I$4,K$17:P$20,5),AND(OR(Setup!I$4=Lookups!D$109,Setup!I$4=Lookups!D$112),Projections!BJ79&gt;M$15),VLOOKUP(Setup!I$4,K$17:P$20,4),AND(OR(Setup!I$4=Lookups!D$110,Setup!I$4=Lookups!D$111),Projections!BJ79&gt;M$14),VLOOKUP(Setup!I$4,K$17:P$20,4),AND(OR(Setup!I$4=Lookups!D$109,Setup!I$4=Lookups!D$112),Projections!BJ79&gt;L$15),VLOOKUP(Setup!I$4,K$17:P$20,3),AND(OR(Setup!I$4=Lookups!D$110,Setup!I$4=Lookups!D$111),Projections!BJ79&gt;L$14),VLOOKUP(Setup!I$4,K$17:P$20,3),AND(OR(Setup!I$4=Lookups!D$109,Setup!I$4=Lookups!D$112),Projections!BJ79&lt;L$15),VLOOKUP(Setup!I$4,K$17:P$20,2),AND(OR(Setup!I$4=Lookups!D$110,Setup!I$4=Lookups!D$111),Projections!BJ79&lt;L$14),VLOOKUP(Setup!I$4,K$17:P$20,2))</f>
        <v>0</v>
      </c>
      <c r="D79" s="1">
        <f>IF(Projections!AW79+Projections!BG79&gt;0,Projections!AW79+Projections!BG79-C79-VLOOKUP(Setup!I$4,K$23:L$26,2)-IF(VLOOKUP(Setup!I$4,K$31:L$34,2)&gt;Projections!AW79+Projections!BG79,IF(OR(Setup!I$4="Head of household",Setup!I$4="Married filing jointly"),2*L$29, L$29),0),0)</f>
        <v>0</v>
      </c>
      <c r="E79" s="1" cm="1">
        <f t="array" ref="E79">IF(D79&gt;0,_xlfn.IFS(Setup!I$4=Lookups!D$109,-_xlfn.IFS(D79&gt;=L$48, N$48+(D79-L$48)*O$48,D79&gt;=L$47, N$47+(D79-L$47)*O$47,D79&gt;=L$46,N$46+(D79-L$46)*O$46,D79&lt;L$46,D79*O$45),Setup!I$4=Lookups!D$110,-_xlfn.IFS(D79&gt;=L$55, N$55+(D79-L$55)*O$55,D79&gt;=L$54, N$54+(D79-L$54)*O$54,D79&gt;=L$53, N$53+(D79-L$53)*O$53,D79&lt;L$53,D79*O$52),Setup!I$4=Lookups!D$111,-_xlfn.IFS(D79&gt;=L$62, N$62+(D79-L$62)*O$62,D79&gt;=L$61, N$61+(D79-L$61)*O$61,D79&gt;=L$60, N$60+(D79-L$60)*O$60,D79&lt;L$60,D79*O$59), Setup!I$4=Lookups!D$112,-_xlfn.IFS(D79&gt;=L$69, N$69+(D79-L$69)*O$69,D79&gt;=L$68, N$68+(D79-L$68)*O$68,D79&gt;=L$67, N$67+(D79-L$67)*O$67,D79&lt;L$67,D79*O$66)),0)</f>
        <v>0</v>
      </c>
      <c r="F79" s="18">
        <f t="shared" si="7"/>
        <v>0</v>
      </c>
      <c r="G79" s="1">
        <f t="shared" si="8"/>
        <v>0</v>
      </c>
      <c r="I79" s="1"/>
      <c r="J79" s="1"/>
    </row>
    <row r="80" spans="1:22" x14ac:dyDescent="0.3">
      <c r="A80" s="1">
        <f t="shared" si="6"/>
        <v>0</v>
      </c>
      <c r="C80" s="1" cm="1">
        <f t="array" ref="C80">_xlfn.IFS(Projections!BJ80=0,0,AND(OR(Setup!I$4=Lookups!D$109,Setup!I$4=Lookups!D$112),Projections!BJ80&gt;P$15),0,AND(OR(Setup!I$4=Lookups!D$110,Setup!I$4=Lookups!D$111),Projections!BJ80&gt;P$14),0,AND(OR(Setup!I$4=Lookups!D$109,Setup!I$4=Lookups!D$112),Projections!BJ80&gt;O$15),VLOOKUP(Setup!I$4,K$17:P$20,6),AND(OR(Setup!I$4=Lookups!D$110,Setup!I$4=Lookups!D$111),Projections!BJ80&gt;O$14),VLOOKUP(Setup!I$4,K$17:P$20,6),AND(OR(Setup!I$4=Lookups!D$109,Setup!I$4=Lookups!D$112),Projections!BJ80&gt;N$15),VLOOKUP(Setup!I$4,K$17:P$20,5),AND(OR(Setup!I$4=Lookups!D$110,Setup!I$4=Lookups!D$111),Projections!BJ80&gt;N$14),VLOOKUP(Setup!I$4,K$17:P$20,5),AND(OR(Setup!I$4=Lookups!D$109,Setup!I$4=Lookups!D$112),Projections!BJ80&gt;M$15),VLOOKUP(Setup!I$4,K$17:P$20,4),AND(OR(Setup!I$4=Lookups!D$110,Setup!I$4=Lookups!D$111),Projections!BJ80&gt;M$14),VLOOKUP(Setup!I$4,K$17:P$20,4),AND(OR(Setup!I$4=Lookups!D$109,Setup!I$4=Lookups!D$112),Projections!BJ80&gt;L$15),VLOOKUP(Setup!I$4,K$17:P$20,3),AND(OR(Setup!I$4=Lookups!D$110,Setup!I$4=Lookups!D$111),Projections!BJ80&gt;L$14),VLOOKUP(Setup!I$4,K$17:P$20,3),AND(OR(Setup!I$4=Lookups!D$109,Setup!I$4=Lookups!D$112),Projections!BJ80&lt;L$15),VLOOKUP(Setup!I$4,K$17:P$20,2),AND(OR(Setup!I$4=Lookups!D$110,Setup!I$4=Lookups!D$111),Projections!BJ80&lt;L$14),VLOOKUP(Setup!I$4,K$17:P$20,2))</f>
        <v>0</v>
      </c>
      <c r="D80" s="1">
        <f>IF(Projections!AW80+Projections!BG80&gt;0,Projections!AW80+Projections!BG80-C80-VLOOKUP(Setup!I$4,K$23:L$26,2)-IF(VLOOKUP(Setup!I$4,K$31:L$34,2)&gt;Projections!AW80+Projections!BG80,IF(OR(Setup!I$4="Head of household",Setup!I$4="Married filing jointly"),2*L$29, L$29),0),0)</f>
        <v>0</v>
      </c>
      <c r="E80" s="1" cm="1">
        <f t="array" ref="E80">IF(D80&gt;0,_xlfn.IFS(Setup!I$4=Lookups!D$109,-_xlfn.IFS(D80&gt;=L$48, N$48+(D80-L$48)*O$48,D80&gt;=L$47, N$47+(D80-L$47)*O$47,D80&gt;=L$46,N$46+(D80-L$46)*O$46,D80&lt;L$46,D80*O$45),Setup!I$4=Lookups!D$110,-_xlfn.IFS(D80&gt;=L$55, N$55+(D80-L$55)*O$55,D80&gt;=L$54, N$54+(D80-L$54)*O$54,D80&gt;=L$53, N$53+(D80-L$53)*O$53,D80&lt;L$53,D80*O$52),Setup!I$4=Lookups!D$111,-_xlfn.IFS(D80&gt;=L$62, N$62+(D80-L$62)*O$62,D80&gt;=L$61, N$61+(D80-L$61)*O$61,D80&gt;=L$60, N$60+(D80-L$60)*O$60,D80&lt;L$60,D80*O$59), Setup!I$4=Lookups!D$112,-_xlfn.IFS(D80&gt;=L$69, N$69+(D80-L$69)*O$69,D80&gt;=L$68, N$68+(D80-L$68)*O$68,D80&gt;=L$67, N$67+(D80-L$67)*O$67,D80&lt;L$67,D80*O$66)),0)</f>
        <v>0</v>
      </c>
      <c r="F80" s="18">
        <f t="shared" si="7"/>
        <v>0</v>
      </c>
      <c r="G80" s="1">
        <f t="shared" si="8"/>
        <v>0</v>
      </c>
      <c r="I80" s="1"/>
      <c r="J80" s="1"/>
    </row>
    <row r="81" spans="1:10" x14ac:dyDescent="0.3">
      <c r="A81" s="1">
        <f t="shared" si="6"/>
        <v>0</v>
      </c>
      <c r="C81" s="1" cm="1">
        <f t="array" ref="C81">_xlfn.IFS(Projections!BJ81=0,0,AND(OR(Setup!I$4=Lookups!D$109,Setup!I$4=Lookups!D$112),Projections!BJ81&gt;P$15),0,AND(OR(Setup!I$4=Lookups!D$110,Setup!I$4=Lookups!D$111),Projections!BJ81&gt;P$14),0,AND(OR(Setup!I$4=Lookups!D$109,Setup!I$4=Lookups!D$112),Projections!BJ81&gt;O$15),VLOOKUP(Setup!I$4,K$17:P$20,6),AND(OR(Setup!I$4=Lookups!D$110,Setup!I$4=Lookups!D$111),Projections!BJ81&gt;O$14),VLOOKUP(Setup!I$4,K$17:P$20,6),AND(OR(Setup!I$4=Lookups!D$109,Setup!I$4=Lookups!D$112),Projections!BJ81&gt;N$15),VLOOKUP(Setup!I$4,K$17:P$20,5),AND(OR(Setup!I$4=Lookups!D$110,Setup!I$4=Lookups!D$111),Projections!BJ81&gt;N$14),VLOOKUP(Setup!I$4,K$17:P$20,5),AND(OR(Setup!I$4=Lookups!D$109,Setup!I$4=Lookups!D$112),Projections!BJ81&gt;M$15),VLOOKUP(Setup!I$4,K$17:P$20,4),AND(OR(Setup!I$4=Lookups!D$110,Setup!I$4=Lookups!D$111),Projections!BJ81&gt;M$14),VLOOKUP(Setup!I$4,K$17:P$20,4),AND(OR(Setup!I$4=Lookups!D$109,Setup!I$4=Lookups!D$112),Projections!BJ81&gt;L$15),VLOOKUP(Setup!I$4,K$17:P$20,3),AND(OR(Setup!I$4=Lookups!D$110,Setup!I$4=Lookups!D$111),Projections!BJ81&gt;L$14),VLOOKUP(Setup!I$4,K$17:P$20,3),AND(OR(Setup!I$4=Lookups!D$109,Setup!I$4=Lookups!D$112),Projections!BJ81&lt;L$15),VLOOKUP(Setup!I$4,K$17:P$20,2),AND(OR(Setup!I$4=Lookups!D$110,Setup!I$4=Lookups!D$111),Projections!BJ81&lt;L$14),VLOOKUP(Setup!I$4,K$17:P$20,2))</f>
        <v>0</v>
      </c>
      <c r="D81" s="1">
        <f>IF(Projections!AW81+Projections!BG81&gt;0,Projections!AW81+Projections!BG81-C81-VLOOKUP(Setup!I$4,K$23:L$26,2)-IF(VLOOKUP(Setup!I$4,K$31:L$34,2)&gt;Projections!AW81+Projections!BG81,IF(OR(Setup!I$4="Head of household",Setup!I$4="Married filing jointly"),2*L$29, L$29),0),0)</f>
        <v>0</v>
      </c>
      <c r="E81" s="1" cm="1">
        <f t="array" ref="E81">IF(D81&gt;0,_xlfn.IFS(Setup!I$4=Lookups!D$109,-_xlfn.IFS(D81&gt;=L$48, N$48+(D81-L$48)*O$48,D81&gt;=L$47, N$47+(D81-L$47)*O$47,D81&gt;=L$46,N$46+(D81-L$46)*O$46,D81&lt;L$46,D81*O$45),Setup!I$4=Lookups!D$110,-_xlfn.IFS(D81&gt;=L$55, N$55+(D81-L$55)*O$55,D81&gt;=L$54, N$54+(D81-L$54)*O$54,D81&gt;=L$53, N$53+(D81-L$53)*O$53,D81&lt;L$53,D81*O$52),Setup!I$4=Lookups!D$111,-_xlfn.IFS(D81&gt;=L$62, N$62+(D81-L$62)*O$62,D81&gt;=L$61, N$61+(D81-L$61)*O$61,D81&gt;=L$60, N$60+(D81-L$60)*O$60,D81&lt;L$60,D81*O$59), Setup!I$4=Lookups!D$112,-_xlfn.IFS(D81&gt;=L$69, N$69+(D81-L$69)*O$69,D81&gt;=L$68, N$68+(D81-L$68)*O$68,D81&gt;=L$67, N$67+(D81-L$67)*O$67,D81&lt;L$67,D81*O$66)),0)</f>
        <v>0</v>
      </c>
      <c r="F81" s="18">
        <f t="shared" si="7"/>
        <v>0</v>
      </c>
      <c r="G81" s="1">
        <f t="shared" si="8"/>
        <v>0</v>
      </c>
      <c r="I81" s="1"/>
      <c r="J81" s="1"/>
    </row>
    <row r="82" spans="1:10" x14ac:dyDescent="0.3">
      <c r="A82" s="1">
        <f t="shared" si="6"/>
        <v>0</v>
      </c>
      <c r="C82" s="1" cm="1">
        <f t="array" ref="C82">_xlfn.IFS(Projections!BJ82=0,0,AND(OR(Setup!I$4=Lookups!D$109,Setup!I$4=Lookups!D$112),Projections!BJ82&gt;P$15),0,AND(OR(Setup!I$4=Lookups!D$110,Setup!I$4=Lookups!D$111),Projections!BJ82&gt;P$14),0,AND(OR(Setup!I$4=Lookups!D$109,Setup!I$4=Lookups!D$112),Projections!BJ82&gt;O$15),VLOOKUP(Setup!I$4,K$17:P$20,6),AND(OR(Setup!I$4=Lookups!D$110,Setup!I$4=Lookups!D$111),Projections!BJ82&gt;O$14),VLOOKUP(Setup!I$4,K$17:P$20,6),AND(OR(Setup!I$4=Lookups!D$109,Setup!I$4=Lookups!D$112),Projections!BJ82&gt;N$15),VLOOKUP(Setup!I$4,K$17:P$20,5),AND(OR(Setup!I$4=Lookups!D$110,Setup!I$4=Lookups!D$111),Projections!BJ82&gt;N$14),VLOOKUP(Setup!I$4,K$17:P$20,5),AND(OR(Setup!I$4=Lookups!D$109,Setup!I$4=Lookups!D$112),Projections!BJ82&gt;M$15),VLOOKUP(Setup!I$4,K$17:P$20,4),AND(OR(Setup!I$4=Lookups!D$110,Setup!I$4=Lookups!D$111),Projections!BJ82&gt;M$14),VLOOKUP(Setup!I$4,K$17:P$20,4),AND(OR(Setup!I$4=Lookups!D$109,Setup!I$4=Lookups!D$112),Projections!BJ82&gt;L$15),VLOOKUP(Setup!I$4,K$17:P$20,3),AND(OR(Setup!I$4=Lookups!D$110,Setup!I$4=Lookups!D$111),Projections!BJ82&gt;L$14),VLOOKUP(Setup!I$4,K$17:P$20,3),AND(OR(Setup!I$4=Lookups!D$109,Setup!I$4=Lookups!D$112),Projections!BJ82&lt;L$15),VLOOKUP(Setup!I$4,K$17:P$20,2),AND(OR(Setup!I$4=Lookups!D$110,Setup!I$4=Lookups!D$111),Projections!BJ82&lt;L$14),VLOOKUP(Setup!I$4,K$17:P$20,2))</f>
        <v>0</v>
      </c>
      <c r="D82" s="1">
        <f>IF(Projections!AW82+Projections!BG82&gt;0,Projections!AW82+Projections!BG82-C82-VLOOKUP(Setup!I$4,K$23:L$26,2)-IF(VLOOKUP(Setup!I$4,K$31:L$34,2)&gt;Projections!AW82+Projections!BG82,IF(OR(Setup!I$4="Head of household",Setup!I$4="Married filing jointly"),2*L$29, L$29),0),0)</f>
        <v>0</v>
      </c>
      <c r="E82" s="1" cm="1">
        <f t="array" ref="E82">IF(D82&gt;0,_xlfn.IFS(Setup!I$4=Lookups!D$109,-_xlfn.IFS(D82&gt;=L$48, N$48+(D82-L$48)*O$48,D82&gt;=L$47, N$47+(D82-L$47)*O$47,D82&gt;=L$46,N$46+(D82-L$46)*O$46,D82&lt;L$46,D82*O$45),Setup!I$4=Lookups!D$110,-_xlfn.IFS(D82&gt;=L$55, N$55+(D82-L$55)*O$55,D82&gt;=L$54, N$54+(D82-L$54)*O$54,D82&gt;=L$53, N$53+(D82-L$53)*O$53,D82&lt;L$53,D82*O$52),Setup!I$4=Lookups!D$111,-_xlfn.IFS(D82&gt;=L$62, N$62+(D82-L$62)*O$62,D82&gt;=L$61, N$61+(D82-L$61)*O$61,D82&gt;=L$60, N$60+(D82-L$60)*O$60,D82&lt;L$60,D82*O$59), Setup!I$4=Lookups!D$112,-_xlfn.IFS(D82&gt;=L$69, N$69+(D82-L$69)*O$69,D82&gt;=L$68, N$68+(D82-L$68)*O$68,D82&gt;=L$67, N$67+(D82-L$67)*O$67,D82&lt;L$67,D82*O$66)),0)</f>
        <v>0</v>
      </c>
      <c r="F82" s="18">
        <f t="shared" si="7"/>
        <v>0</v>
      </c>
      <c r="G82" s="1">
        <f t="shared" si="8"/>
        <v>0</v>
      </c>
      <c r="I82" s="1"/>
      <c r="J82" s="1"/>
    </row>
    <row r="83" spans="1:10" x14ac:dyDescent="0.3">
      <c r="A83" s="1">
        <f t="shared" si="6"/>
        <v>0</v>
      </c>
      <c r="C83" s="1" cm="1">
        <f t="array" ref="C83">_xlfn.IFS(Projections!BJ83=0,0,AND(OR(Setup!I$4=Lookups!D$109,Setup!I$4=Lookups!D$112),Projections!BJ83&gt;P$15),0,AND(OR(Setup!I$4=Lookups!D$110,Setup!I$4=Lookups!D$111),Projections!BJ83&gt;P$14),0,AND(OR(Setup!I$4=Lookups!D$109,Setup!I$4=Lookups!D$112),Projections!BJ83&gt;O$15),VLOOKUP(Setup!I$4,K$17:P$20,6),AND(OR(Setup!I$4=Lookups!D$110,Setup!I$4=Lookups!D$111),Projections!BJ83&gt;O$14),VLOOKUP(Setup!I$4,K$17:P$20,6),AND(OR(Setup!I$4=Lookups!D$109,Setup!I$4=Lookups!D$112),Projections!BJ83&gt;N$15),VLOOKUP(Setup!I$4,K$17:P$20,5),AND(OR(Setup!I$4=Lookups!D$110,Setup!I$4=Lookups!D$111),Projections!BJ83&gt;N$14),VLOOKUP(Setup!I$4,K$17:P$20,5),AND(OR(Setup!I$4=Lookups!D$109,Setup!I$4=Lookups!D$112),Projections!BJ83&gt;M$15),VLOOKUP(Setup!I$4,K$17:P$20,4),AND(OR(Setup!I$4=Lookups!D$110,Setup!I$4=Lookups!D$111),Projections!BJ83&gt;M$14),VLOOKUP(Setup!I$4,K$17:P$20,4),AND(OR(Setup!I$4=Lookups!D$109,Setup!I$4=Lookups!D$112),Projections!BJ83&gt;L$15),VLOOKUP(Setup!I$4,K$17:P$20,3),AND(OR(Setup!I$4=Lookups!D$110,Setup!I$4=Lookups!D$111),Projections!BJ83&gt;L$14),VLOOKUP(Setup!I$4,K$17:P$20,3),AND(OR(Setup!I$4=Lookups!D$109,Setup!I$4=Lookups!D$112),Projections!BJ83&lt;L$15),VLOOKUP(Setup!I$4,K$17:P$20,2),AND(OR(Setup!I$4=Lookups!D$110,Setup!I$4=Lookups!D$111),Projections!BJ83&lt;L$14),VLOOKUP(Setup!I$4,K$17:P$20,2))</f>
        <v>0</v>
      </c>
      <c r="D83" s="1">
        <f>IF(Projections!AW83+Projections!BG83&gt;0,Projections!AW83+Projections!BG83-C83-VLOOKUP(Setup!I$4,K$23:L$26,2)-IF(VLOOKUP(Setup!I$4,K$31:L$34,2)&gt;Projections!AW83+Projections!BG83,IF(OR(Setup!I$4="Head of household",Setup!I$4="Married filing jointly"),2*L$29, L$29),0),0)</f>
        <v>0</v>
      </c>
      <c r="E83" s="1" cm="1">
        <f t="array" ref="E83">IF(D83&gt;0,_xlfn.IFS(Setup!I$4=Lookups!D$109,-_xlfn.IFS(D83&gt;=L$48, N$48+(D83-L$48)*O$48,D83&gt;=L$47, N$47+(D83-L$47)*O$47,D83&gt;=L$46,N$46+(D83-L$46)*O$46,D83&lt;L$46,D83*O$45),Setup!I$4=Lookups!D$110,-_xlfn.IFS(D83&gt;=L$55, N$55+(D83-L$55)*O$55,D83&gt;=L$54, N$54+(D83-L$54)*O$54,D83&gt;=L$53, N$53+(D83-L$53)*O$53,D83&lt;L$53,D83*O$52),Setup!I$4=Lookups!D$111,-_xlfn.IFS(D83&gt;=L$62, N$62+(D83-L$62)*O$62,D83&gt;=L$61, N$61+(D83-L$61)*O$61,D83&gt;=L$60, N$60+(D83-L$60)*O$60,D83&lt;L$60,D83*O$59), Setup!I$4=Lookups!D$112,-_xlfn.IFS(D83&gt;=L$69, N$69+(D83-L$69)*O$69,D83&gt;=L$68, N$68+(D83-L$68)*O$68,D83&gt;=L$67, N$67+(D83-L$67)*O$67,D83&lt;L$67,D83*O$66)),0)</f>
        <v>0</v>
      </c>
      <c r="F83" s="18">
        <f t="shared" si="7"/>
        <v>0</v>
      </c>
      <c r="G83" s="1">
        <f t="shared" si="8"/>
        <v>0</v>
      </c>
      <c r="I83" s="1"/>
      <c r="J83" s="1"/>
    </row>
    <row r="84" spans="1:10" x14ac:dyDescent="0.3">
      <c r="A84" s="1">
        <f t="shared" si="6"/>
        <v>0</v>
      </c>
      <c r="C84" s="1" cm="1">
        <f t="array" ref="C84">_xlfn.IFS(Projections!BJ84=0,0,AND(OR(Setup!I$4=Lookups!D$109,Setup!I$4=Lookups!D$112),Projections!BJ84&gt;P$15),0,AND(OR(Setup!I$4=Lookups!D$110,Setup!I$4=Lookups!D$111),Projections!BJ84&gt;P$14),0,AND(OR(Setup!I$4=Lookups!D$109,Setup!I$4=Lookups!D$112),Projections!BJ84&gt;O$15),VLOOKUP(Setup!I$4,K$17:P$20,6),AND(OR(Setup!I$4=Lookups!D$110,Setup!I$4=Lookups!D$111),Projections!BJ84&gt;O$14),VLOOKUP(Setup!I$4,K$17:P$20,6),AND(OR(Setup!I$4=Lookups!D$109,Setup!I$4=Lookups!D$112),Projections!BJ84&gt;N$15),VLOOKUP(Setup!I$4,K$17:P$20,5),AND(OR(Setup!I$4=Lookups!D$110,Setup!I$4=Lookups!D$111),Projections!BJ84&gt;N$14),VLOOKUP(Setup!I$4,K$17:P$20,5),AND(OR(Setup!I$4=Lookups!D$109,Setup!I$4=Lookups!D$112),Projections!BJ84&gt;M$15),VLOOKUP(Setup!I$4,K$17:P$20,4),AND(OR(Setup!I$4=Lookups!D$110,Setup!I$4=Lookups!D$111),Projections!BJ84&gt;M$14),VLOOKUP(Setup!I$4,K$17:P$20,4),AND(OR(Setup!I$4=Lookups!D$109,Setup!I$4=Lookups!D$112),Projections!BJ84&gt;L$15),VLOOKUP(Setup!I$4,K$17:P$20,3),AND(OR(Setup!I$4=Lookups!D$110,Setup!I$4=Lookups!D$111),Projections!BJ84&gt;L$14),VLOOKUP(Setup!I$4,K$17:P$20,3),AND(OR(Setup!I$4=Lookups!D$109,Setup!I$4=Lookups!D$112),Projections!BJ84&lt;L$15),VLOOKUP(Setup!I$4,K$17:P$20,2),AND(OR(Setup!I$4=Lookups!D$110,Setup!I$4=Lookups!D$111),Projections!BJ84&lt;L$14),VLOOKUP(Setup!I$4,K$17:P$20,2))</f>
        <v>0</v>
      </c>
      <c r="D84" s="1">
        <f>IF(Projections!AW84+Projections!BG84&gt;0,Projections!AW84+Projections!BG84-C84-VLOOKUP(Setup!I$4,K$23:L$26,2)-IF(VLOOKUP(Setup!I$4,K$31:L$34,2)&gt;Projections!AW84+Projections!BG84,IF(OR(Setup!I$4="Head of household",Setup!I$4="Married filing jointly"),2*L$29, L$29),0),0)</f>
        <v>0</v>
      </c>
      <c r="E84" s="1" cm="1">
        <f t="array" ref="E84">IF(D84&gt;0,_xlfn.IFS(Setup!I$4=Lookups!D$109,-_xlfn.IFS(D84&gt;=L$48, N$48+(D84-L$48)*O$48,D84&gt;=L$47, N$47+(D84-L$47)*O$47,D84&gt;=L$46,N$46+(D84-L$46)*O$46,D84&lt;L$46,D84*O$45),Setup!I$4=Lookups!D$110,-_xlfn.IFS(D84&gt;=L$55, N$55+(D84-L$55)*O$55,D84&gt;=L$54, N$54+(D84-L$54)*O$54,D84&gt;=L$53, N$53+(D84-L$53)*O$53,D84&lt;L$53,D84*O$52),Setup!I$4=Lookups!D$111,-_xlfn.IFS(D84&gt;=L$62, N$62+(D84-L$62)*O$62,D84&gt;=L$61, N$61+(D84-L$61)*O$61,D84&gt;=L$60, N$60+(D84-L$60)*O$60,D84&lt;L$60,D84*O$59), Setup!I$4=Lookups!D$112,-_xlfn.IFS(D84&gt;=L$69, N$69+(D84-L$69)*O$69,D84&gt;=L$68, N$68+(D84-L$68)*O$68,D84&gt;=L$67, N$67+(D84-L$67)*O$67,D84&lt;L$67,D84*O$66)),0)</f>
        <v>0</v>
      </c>
      <c r="F84" s="18">
        <f t="shared" si="7"/>
        <v>0</v>
      </c>
      <c r="G84" s="1">
        <f t="shared" si="8"/>
        <v>0</v>
      </c>
      <c r="I84" s="1"/>
      <c r="J84" s="1"/>
    </row>
    <row r="85" spans="1:10" x14ac:dyDescent="0.3">
      <c r="A85" s="1">
        <f t="shared" si="6"/>
        <v>0</v>
      </c>
      <c r="C85" s="1" cm="1">
        <f t="array" ref="C85">_xlfn.IFS(Projections!BJ85=0,0,AND(OR(Setup!I$4=Lookups!D$109,Setup!I$4=Lookups!D$112),Projections!BJ85&gt;P$15),0,AND(OR(Setup!I$4=Lookups!D$110,Setup!I$4=Lookups!D$111),Projections!BJ85&gt;P$14),0,AND(OR(Setup!I$4=Lookups!D$109,Setup!I$4=Lookups!D$112),Projections!BJ85&gt;O$15),VLOOKUP(Setup!I$4,K$17:P$20,6),AND(OR(Setup!I$4=Lookups!D$110,Setup!I$4=Lookups!D$111),Projections!BJ85&gt;O$14),VLOOKUP(Setup!I$4,K$17:P$20,6),AND(OR(Setup!I$4=Lookups!D$109,Setup!I$4=Lookups!D$112),Projections!BJ85&gt;N$15),VLOOKUP(Setup!I$4,K$17:P$20,5),AND(OR(Setup!I$4=Lookups!D$110,Setup!I$4=Lookups!D$111),Projections!BJ85&gt;N$14),VLOOKUP(Setup!I$4,K$17:P$20,5),AND(OR(Setup!I$4=Lookups!D$109,Setup!I$4=Lookups!D$112),Projections!BJ85&gt;M$15),VLOOKUP(Setup!I$4,K$17:P$20,4),AND(OR(Setup!I$4=Lookups!D$110,Setup!I$4=Lookups!D$111),Projections!BJ85&gt;M$14),VLOOKUP(Setup!I$4,K$17:P$20,4),AND(OR(Setup!I$4=Lookups!D$109,Setup!I$4=Lookups!D$112),Projections!BJ85&gt;L$15),VLOOKUP(Setup!I$4,K$17:P$20,3),AND(OR(Setup!I$4=Lookups!D$110,Setup!I$4=Lookups!D$111),Projections!BJ85&gt;L$14),VLOOKUP(Setup!I$4,K$17:P$20,3),AND(OR(Setup!I$4=Lookups!D$109,Setup!I$4=Lookups!D$112),Projections!BJ85&lt;L$15),VLOOKUP(Setup!I$4,K$17:P$20,2),AND(OR(Setup!I$4=Lookups!D$110,Setup!I$4=Lookups!D$111),Projections!BJ85&lt;L$14),VLOOKUP(Setup!I$4,K$17:P$20,2))</f>
        <v>0</v>
      </c>
      <c r="D85" s="1">
        <f>IF(Projections!AW85+Projections!BG85&gt;0,Projections!AW85+Projections!BG85-C85-VLOOKUP(Setup!I$4,K$23:L$26,2)-IF(VLOOKUP(Setup!I$4,K$31:L$34,2)&gt;Projections!AW85+Projections!BG85,IF(OR(Setup!I$4="Head of household",Setup!I$4="Married filing jointly"),2*L$29, L$29),0),0)</f>
        <v>0</v>
      </c>
      <c r="E85" s="1" cm="1">
        <f t="array" ref="E85">IF(D85&gt;0,_xlfn.IFS(Setup!I$4=Lookups!D$109,-_xlfn.IFS(D85&gt;=L$48, N$48+(D85-L$48)*O$48,D85&gt;=L$47, N$47+(D85-L$47)*O$47,D85&gt;=L$46,N$46+(D85-L$46)*O$46,D85&lt;L$46,D85*O$45),Setup!I$4=Lookups!D$110,-_xlfn.IFS(D85&gt;=L$55, N$55+(D85-L$55)*O$55,D85&gt;=L$54, N$54+(D85-L$54)*O$54,D85&gt;=L$53, N$53+(D85-L$53)*O$53,D85&lt;L$53,D85*O$52),Setup!I$4=Lookups!D$111,-_xlfn.IFS(D85&gt;=L$62, N$62+(D85-L$62)*O$62,D85&gt;=L$61, N$61+(D85-L$61)*O$61,D85&gt;=L$60, N$60+(D85-L$60)*O$60,D85&lt;L$60,D85*O$59), Setup!I$4=Lookups!D$112,-_xlfn.IFS(D85&gt;=L$69, N$69+(D85-L$69)*O$69,D85&gt;=L$68, N$68+(D85-L$68)*O$68,D85&gt;=L$67, N$67+(D85-L$67)*O$67,D85&lt;L$67,D85*O$66)),0)</f>
        <v>0</v>
      </c>
      <c r="F85" s="18">
        <f t="shared" si="7"/>
        <v>0</v>
      </c>
      <c r="G85" s="1">
        <f t="shared" si="8"/>
        <v>0</v>
      </c>
      <c r="I85" s="1"/>
      <c r="J85" s="1"/>
    </row>
    <row r="86" spans="1:10" x14ac:dyDescent="0.3">
      <c r="A86" s="1">
        <f t="shared" si="6"/>
        <v>0</v>
      </c>
      <c r="C86" s="1" cm="1">
        <f t="array" ref="C86">_xlfn.IFS(Projections!BJ86=0,0,AND(OR(Setup!I$4=Lookups!D$109,Setup!I$4=Lookups!D$112),Projections!BJ86&gt;P$15),0,AND(OR(Setup!I$4=Lookups!D$110,Setup!I$4=Lookups!D$111),Projections!BJ86&gt;P$14),0,AND(OR(Setup!I$4=Lookups!D$109,Setup!I$4=Lookups!D$112),Projections!BJ86&gt;O$15),VLOOKUP(Setup!I$4,K$17:P$20,6),AND(OR(Setup!I$4=Lookups!D$110,Setup!I$4=Lookups!D$111),Projections!BJ86&gt;O$14),VLOOKUP(Setup!I$4,K$17:P$20,6),AND(OR(Setup!I$4=Lookups!D$109,Setup!I$4=Lookups!D$112),Projections!BJ86&gt;N$15),VLOOKUP(Setup!I$4,K$17:P$20,5),AND(OR(Setup!I$4=Lookups!D$110,Setup!I$4=Lookups!D$111),Projections!BJ86&gt;N$14),VLOOKUP(Setup!I$4,K$17:P$20,5),AND(OR(Setup!I$4=Lookups!D$109,Setup!I$4=Lookups!D$112),Projections!BJ86&gt;M$15),VLOOKUP(Setup!I$4,K$17:P$20,4),AND(OR(Setup!I$4=Lookups!D$110,Setup!I$4=Lookups!D$111),Projections!BJ86&gt;M$14),VLOOKUP(Setup!I$4,K$17:P$20,4),AND(OR(Setup!I$4=Lookups!D$109,Setup!I$4=Lookups!D$112),Projections!BJ86&gt;L$15),VLOOKUP(Setup!I$4,K$17:P$20,3),AND(OR(Setup!I$4=Lookups!D$110,Setup!I$4=Lookups!D$111),Projections!BJ86&gt;L$14),VLOOKUP(Setup!I$4,K$17:P$20,3),AND(OR(Setup!I$4=Lookups!D$109,Setup!I$4=Lookups!D$112),Projections!BJ86&lt;L$15),VLOOKUP(Setup!I$4,K$17:P$20,2),AND(OR(Setup!I$4=Lookups!D$110,Setup!I$4=Lookups!D$111),Projections!BJ86&lt;L$14),VLOOKUP(Setup!I$4,K$17:P$20,2))</f>
        <v>0</v>
      </c>
      <c r="D86" s="1">
        <f>IF(Projections!AW86+Projections!BG86&gt;0,Projections!AW86+Projections!BG86-C86-VLOOKUP(Setup!I$4,K$23:L$26,2)-IF(VLOOKUP(Setup!I$4,K$31:L$34,2)&gt;Projections!AW86+Projections!BG86,IF(OR(Setup!I$4="Head of household",Setup!I$4="Married filing jointly"),2*L$29, L$29),0),0)</f>
        <v>0</v>
      </c>
      <c r="E86" s="1" cm="1">
        <f t="array" ref="E86">IF(D86&gt;0,_xlfn.IFS(Setup!I$4=Lookups!D$109,-_xlfn.IFS(D86&gt;=L$48, N$48+(D86-L$48)*O$48,D86&gt;=L$47, N$47+(D86-L$47)*O$47,D86&gt;=L$46,N$46+(D86-L$46)*O$46,D86&lt;L$46,D86*O$45),Setup!I$4=Lookups!D$110,-_xlfn.IFS(D86&gt;=L$55, N$55+(D86-L$55)*O$55,D86&gt;=L$54, N$54+(D86-L$54)*O$54,D86&gt;=L$53, N$53+(D86-L$53)*O$53,D86&lt;L$53,D86*O$52),Setup!I$4=Lookups!D$111,-_xlfn.IFS(D86&gt;=L$62, N$62+(D86-L$62)*O$62,D86&gt;=L$61, N$61+(D86-L$61)*O$61,D86&gt;=L$60, N$60+(D86-L$60)*O$60,D86&lt;L$60,D86*O$59), Setup!I$4=Lookups!D$112,-_xlfn.IFS(D86&gt;=L$69, N$69+(D86-L$69)*O$69,D86&gt;=L$68, N$68+(D86-L$68)*O$68,D86&gt;=L$67, N$67+(D86-L$67)*O$67,D86&lt;L$67,D86*O$66)),0)</f>
        <v>0</v>
      </c>
      <c r="F86" s="18">
        <f t="shared" si="7"/>
        <v>0</v>
      </c>
      <c r="G86" s="1">
        <f t="shared" si="8"/>
        <v>0</v>
      </c>
      <c r="I86" s="1"/>
      <c r="J86" s="1"/>
    </row>
    <row r="87" spans="1:10" x14ac:dyDescent="0.3">
      <c r="A87" s="1">
        <f t="shared" si="6"/>
        <v>0</v>
      </c>
      <c r="C87" s="1" cm="1">
        <f t="array" ref="C87">_xlfn.IFS(Projections!BJ87=0,0,AND(OR(Setup!I$4=Lookups!D$109,Setup!I$4=Lookups!D$112),Projections!BJ87&gt;P$15),0,AND(OR(Setup!I$4=Lookups!D$110,Setup!I$4=Lookups!D$111),Projections!BJ87&gt;P$14),0,AND(OR(Setup!I$4=Lookups!D$109,Setup!I$4=Lookups!D$112),Projections!BJ87&gt;O$15),VLOOKUP(Setup!I$4,K$17:P$20,6),AND(OR(Setup!I$4=Lookups!D$110,Setup!I$4=Lookups!D$111),Projections!BJ87&gt;O$14),VLOOKUP(Setup!I$4,K$17:P$20,6),AND(OR(Setup!I$4=Lookups!D$109,Setup!I$4=Lookups!D$112),Projections!BJ87&gt;N$15),VLOOKUP(Setup!I$4,K$17:P$20,5),AND(OR(Setup!I$4=Lookups!D$110,Setup!I$4=Lookups!D$111),Projections!BJ87&gt;N$14),VLOOKUP(Setup!I$4,K$17:P$20,5),AND(OR(Setup!I$4=Lookups!D$109,Setup!I$4=Lookups!D$112),Projections!BJ87&gt;M$15),VLOOKUP(Setup!I$4,K$17:P$20,4),AND(OR(Setup!I$4=Lookups!D$110,Setup!I$4=Lookups!D$111),Projections!BJ87&gt;M$14),VLOOKUP(Setup!I$4,K$17:P$20,4),AND(OR(Setup!I$4=Lookups!D$109,Setup!I$4=Lookups!D$112),Projections!BJ87&gt;L$15),VLOOKUP(Setup!I$4,K$17:P$20,3),AND(OR(Setup!I$4=Lookups!D$110,Setup!I$4=Lookups!D$111),Projections!BJ87&gt;L$14),VLOOKUP(Setup!I$4,K$17:P$20,3),AND(OR(Setup!I$4=Lookups!D$109,Setup!I$4=Lookups!D$112),Projections!BJ87&lt;L$15),VLOOKUP(Setup!I$4,K$17:P$20,2),AND(OR(Setup!I$4=Lookups!D$110,Setup!I$4=Lookups!D$111),Projections!BJ87&lt;L$14),VLOOKUP(Setup!I$4,K$17:P$20,2))</f>
        <v>0</v>
      </c>
      <c r="D87" s="1">
        <f>IF(Projections!AW87+Projections!BG87&gt;0,Projections!AW87+Projections!BG87-C87-VLOOKUP(Setup!I$4,K$23:L$26,2)-IF(VLOOKUP(Setup!I$4,K$31:L$34,2)&gt;Projections!AW87+Projections!BG87,IF(OR(Setup!I$4="Head of household",Setup!I$4="Married filing jointly"),2*L$29, L$29),0),0)</f>
        <v>0</v>
      </c>
      <c r="E87" s="1" cm="1">
        <f t="array" ref="E87">IF(D87&gt;0,_xlfn.IFS(Setup!I$4=Lookups!D$109,-_xlfn.IFS(D87&gt;=L$48, N$48+(D87-L$48)*O$48,D87&gt;=L$47, N$47+(D87-L$47)*O$47,D87&gt;=L$46,N$46+(D87-L$46)*O$46,D87&lt;L$46,D87*O$45),Setup!I$4=Lookups!D$110,-_xlfn.IFS(D87&gt;=L$55, N$55+(D87-L$55)*O$55,D87&gt;=L$54, N$54+(D87-L$54)*O$54,D87&gt;=L$53, N$53+(D87-L$53)*O$53,D87&lt;L$53,D87*O$52),Setup!I$4=Lookups!D$111,-_xlfn.IFS(D87&gt;=L$62, N$62+(D87-L$62)*O$62,D87&gt;=L$61, N$61+(D87-L$61)*O$61,D87&gt;=L$60, N$60+(D87-L$60)*O$60,D87&lt;L$60,D87*O$59), Setup!I$4=Lookups!D$112,-_xlfn.IFS(D87&gt;=L$69, N$69+(D87-L$69)*O$69,D87&gt;=L$68, N$68+(D87-L$68)*O$68,D87&gt;=L$67, N$67+(D87-L$67)*O$67,D87&lt;L$67,D87*O$66)),0)</f>
        <v>0</v>
      </c>
      <c r="F87" s="18">
        <f t="shared" si="7"/>
        <v>0</v>
      </c>
      <c r="G87" s="1">
        <f t="shared" si="8"/>
        <v>0</v>
      </c>
      <c r="I87" s="1"/>
      <c r="J87" s="1"/>
    </row>
    <row r="88" spans="1:10" x14ac:dyDescent="0.3">
      <c r="A88" s="1">
        <f t="shared" si="6"/>
        <v>0</v>
      </c>
      <c r="C88" s="1" cm="1">
        <f t="array" ref="C88">_xlfn.IFS(Projections!BJ88=0,0,AND(OR(Setup!I$4=Lookups!D$109,Setup!I$4=Lookups!D$112),Projections!BJ88&gt;P$15),0,AND(OR(Setup!I$4=Lookups!D$110,Setup!I$4=Lookups!D$111),Projections!BJ88&gt;P$14),0,AND(OR(Setup!I$4=Lookups!D$109,Setup!I$4=Lookups!D$112),Projections!BJ88&gt;O$15),VLOOKUP(Setup!I$4,K$17:P$20,6),AND(OR(Setup!I$4=Lookups!D$110,Setup!I$4=Lookups!D$111),Projections!BJ88&gt;O$14),VLOOKUP(Setup!I$4,K$17:P$20,6),AND(OR(Setup!I$4=Lookups!D$109,Setup!I$4=Lookups!D$112),Projections!BJ88&gt;N$15),VLOOKUP(Setup!I$4,K$17:P$20,5),AND(OR(Setup!I$4=Lookups!D$110,Setup!I$4=Lookups!D$111),Projections!BJ88&gt;N$14),VLOOKUP(Setup!I$4,K$17:P$20,5),AND(OR(Setup!I$4=Lookups!D$109,Setup!I$4=Lookups!D$112),Projections!BJ88&gt;M$15),VLOOKUP(Setup!I$4,K$17:P$20,4),AND(OR(Setup!I$4=Lookups!D$110,Setup!I$4=Lookups!D$111),Projections!BJ88&gt;M$14),VLOOKUP(Setup!I$4,K$17:P$20,4),AND(OR(Setup!I$4=Lookups!D$109,Setup!I$4=Lookups!D$112),Projections!BJ88&gt;L$15),VLOOKUP(Setup!I$4,K$17:P$20,3),AND(OR(Setup!I$4=Lookups!D$110,Setup!I$4=Lookups!D$111),Projections!BJ88&gt;L$14),VLOOKUP(Setup!I$4,K$17:P$20,3),AND(OR(Setup!I$4=Lookups!D$109,Setup!I$4=Lookups!D$112),Projections!BJ88&lt;L$15),VLOOKUP(Setup!I$4,K$17:P$20,2),AND(OR(Setup!I$4=Lookups!D$110,Setup!I$4=Lookups!D$111),Projections!BJ88&lt;L$14),VLOOKUP(Setup!I$4,K$17:P$20,2))</f>
        <v>0</v>
      </c>
      <c r="D88" s="1">
        <f>IF(Projections!AW88+Projections!BG88&gt;0,Projections!AW88+Projections!BG88-C88-VLOOKUP(Setup!I$4,K$23:L$26,2)-IF(VLOOKUP(Setup!I$4,K$31:L$34,2)&gt;Projections!AW88+Projections!BG88,IF(OR(Setup!I$4="Head of household",Setup!I$4="Married filing jointly"),2*L$29, L$29),0),0)</f>
        <v>0</v>
      </c>
      <c r="E88" s="1" cm="1">
        <f t="array" ref="E88">IF(D88&gt;0,_xlfn.IFS(Setup!I$4=Lookups!D$109,-_xlfn.IFS(D88&gt;=L$48, N$48+(D88-L$48)*O$48,D88&gt;=L$47, N$47+(D88-L$47)*O$47,D88&gt;=L$46,N$46+(D88-L$46)*O$46,D88&lt;L$46,D88*O$45),Setup!I$4=Lookups!D$110,-_xlfn.IFS(D88&gt;=L$55, N$55+(D88-L$55)*O$55,D88&gt;=L$54, N$54+(D88-L$54)*O$54,D88&gt;=L$53, N$53+(D88-L$53)*O$53,D88&lt;L$53,D88*O$52),Setup!I$4=Lookups!D$111,-_xlfn.IFS(D88&gt;=L$62, N$62+(D88-L$62)*O$62,D88&gt;=L$61, N$61+(D88-L$61)*O$61,D88&gt;=L$60, N$60+(D88-L$60)*O$60,D88&lt;L$60,D88*O$59), Setup!I$4=Lookups!D$112,-_xlfn.IFS(D88&gt;=L$69, N$69+(D88-L$69)*O$69,D88&gt;=L$68, N$68+(D88-L$68)*O$68,D88&gt;=L$67, N$67+(D88-L$67)*O$67,D88&lt;L$67,D88*O$66)),0)</f>
        <v>0</v>
      </c>
      <c r="F88" s="18">
        <f t="shared" si="7"/>
        <v>0</v>
      </c>
      <c r="G88" s="1">
        <f t="shared" si="8"/>
        <v>0</v>
      </c>
      <c r="I88" s="1"/>
      <c r="J88" s="1"/>
    </row>
    <row r="89" spans="1:10" x14ac:dyDescent="0.3">
      <c r="A89" s="1">
        <f t="shared" si="6"/>
        <v>0</v>
      </c>
      <c r="C89" s="1" cm="1">
        <f t="array" ref="C89">_xlfn.IFS(Projections!BJ89=0,0,AND(OR(Setup!I$4=Lookups!D$109,Setup!I$4=Lookups!D$112),Projections!BJ89&gt;P$15),0,AND(OR(Setup!I$4=Lookups!D$110,Setup!I$4=Lookups!D$111),Projections!BJ89&gt;P$14),0,AND(OR(Setup!I$4=Lookups!D$109,Setup!I$4=Lookups!D$112),Projections!BJ89&gt;O$15),VLOOKUP(Setup!I$4,K$17:P$20,6),AND(OR(Setup!I$4=Lookups!D$110,Setup!I$4=Lookups!D$111),Projections!BJ89&gt;O$14),VLOOKUP(Setup!I$4,K$17:P$20,6),AND(OR(Setup!I$4=Lookups!D$109,Setup!I$4=Lookups!D$112),Projections!BJ89&gt;N$15),VLOOKUP(Setup!I$4,K$17:P$20,5),AND(OR(Setup!I$4=Lookups!D$110,Setup!I$4=Lookups!D$111),Projections!BJ89&gt;N$14),VLOOKUP(Setup!I$4,K$17:P$20,5),AND(OR(Setup!I$4=Lookups!D$109,Setup!I$4=Lookups!D$112),Projections!BJ89&gt;M$15),VLOOKUP(Setup!I$4,K$17:P$20,4),AND(OR(Setup!I$4=Lookups!D$110,Setup!I$4=Lookups!D$111),Projections!BJ89&gt;M$14),VLOOKUP(Setup!I$4,K$17:P$20,4),AND(OR(Setup!I$4=Lookups!D$109,Setup!I$4=Lookups!D$112),Projections!BJ89&gt;L$15),VLOOKUP(Setup!I$4,K$17:P$20,3),AND(OR(Setup!I$4=Lookups!D$110,Setup!I$4=Lookups!D$111),Projections!BJ89&gt;L$14),VLOOKUP(Setup!I$4,K$17:P$20,3),AND(OR(Setup!I$4=Lookups!D$109,Setup!I$4=Lookups!D$112),Projections!BJ89&lt;L$15),VLOOKUP(Setup!I$4,K$17:P$20,2),AND(OR(Setup!I$4=Lookups!D$110,Setup!I$4=Lookups!D$111),Projections!BJ89&lt;L$14),VLOOKUP(Setup!I$4,K$17:P$20,2))</f>
        <v>0</v>
      </c>
      <c r="D89" s="1">
        <f>IF(Projections!AW89+Projections!BG89&gt;0,Projections!AW89+Projections!BG89-C89-VLOOKUP(Setup!I$4,K$23:L$26,2)-IF(VLOOKUP(Setup!I$4,K$31:L$34,2)&gt;Projections!AW89+Projections!BG89,IF(OR(Setup!I$4="Head of household",Setup!I$4="Married filing jointly"),2*L$29, L$29),0),0)</f>
        <v>0</v>
      </c>
      <c r="E89" s="1" cm="1">
        <f t="array" ref="E89">IF(D89&gt;0,_xlfn.IFS(Setup!I$4=Lookups!D$109,-_xlfn.IFS(D89&gt;=L$48, N$48+(D89-L$48)*O$48,D89&gt;=L$47, N$47+(D89-L$47)*O$47,D89&gt;=L$46,N$46+(D89-L$46)*O$46,D89&lt;L$46,D89*O$45),Setup!I$4=Lookups!D$110,-_xlfn.IFS(D89&gt;=L$55, N$55+(D89-L$55)*O$55,D89&gt;=L$54, N$54+(D89-L$54)*O$54,D89&gt;=L$53, N$53+(D89-L$53)*O$53,D89&lt;L$53,D89*O$52),Setup!I$4=Lookups!D$111,-_xlfn.IFS(D89&gt;=L$62, N$62+(D89-L$62)*O$62,D89&gt;=L$61, N$61+(D89-L$61)*O$61,D89&gt;=L$60, N$60+(D89-L$60)*O$60,D89&lt;L$60,D89*O$59), Setup!I$4=Lookups!D$112,-_xlfn.IFS(D89&gt;=L$69, N$69+(D89-L$69)*O$69,D89&gt;=L$68, N$68+(D89-L$68)*O$68,D89&gt;=L$67, N$67+(D89-L$67)*O$67,D89&lt;L$67,D89*O$66)),0)</f>
        <v>0</v>
      </c>
      <c r="F89" s="18">
        <f t="shared" si="7"/>
        <v>0</v>
      </c>
      <c r="G89" s="1">
        <f t="shared" si="8"/>
        <v>0</v>
      </c>
      <c r="I89" s="1"/>
      <c r="J89" s="1"/>
    </row>
    <row r="90" spans="1:10" x14ac:dyDescent="0.3">
      <c r="A90" s="1">
        <f t="shared" si="6"/>
        <v>0</v>
      </c>
      <c r="C90" s="1" cm="1">
        <f t="array" ref="C90">_xlfn.IFS(Projections!BJ90=0,0,AND(OR(Setup!I$4=Lookups!D$109,Setup!I$4=Lookups!D$112),Projections!BJ90&gt;P$15),0,AND(OR(Setup!I$4=Lookups!D$110,Setup!I$4=Lookups!D$111),Projections!BJ90&gt;P$14),0,AND(OR(Setup!I$4=Lookups!D$109,Setup!I$4=Lookups!D$112),Projections!BJ90&gt;O$15),VLOOKUP(Setup!I$4,K$17:P$20,6),AND(OR(Setup!I$4=Lookups!D$110,Setup!I$4=Lookups!D$111),Projections!BJ90&gt;O$14),VLOOKUP(Setup!I$4,K$17:P$20,6),AND(OR(Setup!I$4=Lookups!D$109,Setup!I$4=Lookups!D$112),Projections!BJ90&gt;N$15),VLOOKUP(Setup!I$4,K$17:P$20,5),AND(OR(Setup!I$4=Lookups!D$110,Setup!I$4=Lookups!D$111),Projections!BJ90&gt;N$14),VLOOKUP(Setup!I$4,K$17:P$20,5),AND(OR(Setup!I$4=Lookups!D$109,Setup!I$4=Lookups!D$112),Projections!BJ90&gt;M$15),VLOOKUP(Setup!I$4,K$17:P$20,4),AND(OR(Setup!I$4=Lookups!D$110,Setup!I$4=Lookups!D$111),Projections!BJ90&gt;M$14),VLOOKUP(Setup!I$4,K$17:P$20,4),AND(OR(Setup!I$4=Lookups!D$109,Setup!I$4=Lookups!D$112),Projections!BJ90&gt;L$15),VLOOKUP(Setup!I$4,K$17:P$20,3),AND(OR(Setup!I$4=Lookups!D$110,Setup!I$4=Lookups!D$111),Projections!BJ90&gt;L$14),VLOOKUP(Setup!I$4,K$17:P$20,3),AND(OR(Setup!I$4=Lookups!D$109,Setup!I$4=Lookups!D$112),Projections!BJ90&lt;L$15),VLOOKUP(Setup!I$4,K$17:P$20,2),AND(OR(Setup!I$4=Lookups!D$110,Setup!I$4=Lookups!D$111),Projections!BJ90&lt;L$14),VLOOKUP(Setup!I$4,K$17:P$20,2))</f>
        <v>0</v>
      </c>
      <c r="D90" s="1">
        <f>IF(Projections!AW90+Projections!BG90&gt;0,Projections!AW90+Projections!BG90-C90-VLOOKUP(Setup!I$4,K$23:L$26,2)-IF(VLOOKUP(Setup!I$4,K$31:L$34,2)&gt;Projections!AW90+Projections!BG90,IF(OR(Setup!I$4="Head of household",Setup!I$4="Married filing jointly"),2*L$29, L$29),0),0)</f>
        <v>0</v>
      </c>
      <c r="E90" s="1" cm="1">
        <f t="array" ref="E90">IF(D90&gt;0,_xlfn.IFS(Setup!I$4=Lookups!D$109,-_xlfn.IFS(D90&gt;=L$48, N$48+(D90-L$48)*O$48,D90&gt;=L$47, N$47+(D90-L$47)*O$47,D90&gt;=L$46,N$46+(D90-L$46)*O$46,D90&lt;L$46,D90*O$45),Setup!I$4=Lookups!D$110,-_xlfn.IFS(D90&gt;=L$55, N$55+(D90-L$55)*O$55,D90&gt;=L$54, N$54+(D90-L$54)*O$54,D90&gt;=L$53, N$53+(D90-L$53)*O$53,D90&lt;L$53,D90*O$52),Setup!I$4=Lookups!D$111,-_xlfn.IFS(D90&gt;=L$62, N$62+(D90-L$62)*O$62,D90&gt;=L$61, N$61+(D90-L$61)*O$61,D90&gt;=L$60, N$60+(D90-L$60)*O$60,D90&lt;L$60,D90*O$59), Setup!I$4=Lookups!D$112,-_xlfn.IFS(D90&gt;=L$69, N$69+(D90-L$69)*O$69,D90&gt;=L$68, N$68+(D90-L$68)*O$68,D90&gt;=L$67, N$67+(D90-L$67)*O$67,D90&lt;L$67,D90*O$66)),0)</f>
        <v>0</v>
      </c>
      <c r="F90" s="18">
        <f t="shared" si="7"/>
        <v>0</v>
      </c>
      <c r="G90" s="1">
        <f t="shared" si="8"/>
        <v>0</v>
      </c>
      <c r="I90" s="1"/>
      <c r="J90" s="1"/>
    </row>
    <row r="91" spans="1:10" x14ac:dyDescent="0.3">
      <c r="A91" s="1">
        <f t="shared" si="6"/>
        <v>0</v>
      </c>
      <c r="C91" s="1" cm="1">
        <f t="array" ref="C91">_xlfn.IFS(Projections!BJ91=0,0,AND(OR(Setup!I$4=Lookups!D$109,Setup!I$4=Lookups!D$112),Projections!BJ91&gt;P$15),0,AND(OR(Setup!I$4=Lookups!D$110,Setup!I$4=Lookups!D$111),Projections!BJ91&gt;P$14),0,AND(OR(Setup!I$4=Lookups!D$109,Setup!I$4=Lookups!D$112),Projections!BJ91&gt;O$15),VLOOKUP(Setup!I$4,K$17:P$20,6),AND(OR(Setup!I$4=Lookups!D$110,Setup!I$4=Lookups!D$111),Projections!BJ91&gt;O$14),VLOOKUP(Setup!I$4,K$17:P$20,6),AND(OR(Setup!I$4=Lookups!D$109,Setup!I$4=Lookups!D$112),Projections!BJ91&gt;N$15),VLOOKUP(Setup!I$4,K$17:P$20,5),AND(OR(Setup!I$4=Lookups!D$110,Setup!I$4=Lookups!D$111),Projections!BJ91&gt;N$14),VLOOKUP(Setup!I$4,K$17:P$20,5),AND(OR(Setup!I$4=Lookups!D$109,Setup!I$4=Lookups!D$112),Projections!BJ91&gt;M$15),VLOOKUP(Setup!I$4,K$17:P$20,4),AND(OR(Setup!I$4=Lookups!D$110,Setup!I$4=Lookups!D$111),Projections!BJ91&gt;M$14),VLOOKUP(Setup!I$4,K$17:P$20,4),AND(OR(Setup!I$4=Lookups!D$109,Setup!I$4=Lookups!D$112),Projections!BJ91&gt;L$15),VLOOKUP(Setup!I$4,K$17:P$20,3),AND(OR(Setup!I$4=Lookups!D$110,Setup!I$4=Lookups!D$111),Projections!BJ91&gt;L$14),VLOOKUP(Setup!I$4,K$17:P$20,3),AND(OR(Setup!I$4=Lookups!D$109,Setup!I$4=Lookups!D$112),Projections!BJ91&lt;L$15),VLOOKUP(Setup!I$4,K$17:P$20,2),AND(OR(Setup!I$4=Lookups!D$110,Setup!I$4=Lookups!D$111),Projections!BJ91&lt;L$14),VLOOKUP(Setup!I$4,K$17:P$20,2))</f>
        <v>0</v>
      </c>
      <c r="D91" s="1">
        <f>IF(Projections!AW91+Projections!BG91&gt;0,Projections!AW91+Projections!BG91-C91-VLOOKUP(Setup!I$4,K$23:L$26,2)-IF(VLOOKUP(Setup!I$4,K$31:L$34,2)&gt;Projections!AW91+Projections!BG91,IF(OR(Setup!I$4="Head of household",Setup!I$4="Married filing jointly"),2*L$29, L$29),0),0)</f>
        <v>0</v>
      </c>
      <c r="E91" s="1" cm="1">
        <f t="array" ref="E91">IF(D91&gt;0,_xlfn.IFS(Setup!I$4=Lookups!D$109,-_xlfn.IFS(D91&gt;=L$48, N$48+(D91-L$48)*O$48,D91&gt;=L$47, N$47+(D91-L$47)*O$47,D91&gt;=L$46,N$46+(D91-L$46)*O$46,D91&lt;L$46,D91*O$45),Setup!I$4=Lookups!D$110,-_xlfn.IFS(D91&gt;=L$55, N$55+(D91-L$55)*O$55,D91&gt;=L$54, N$54+(D91-L$54)*O$54,D91&gt;=L$53, N$53+(D91-L$53)*O$53,D91&lt;L$53,D91*O$52),Setup!I$4=Lookups!D$111,-_xlfn.IFS(D91&gt;=L$62, N$62+(D91-L$62)*O$62,D91&gt;=L$61, N$61+(D91-L$61)*O$61,D91&gt;=L$60, N$60+(D91-L$60)*O$60,D91&lt;L$60,D91*O$59), Setup!I$4=Lookups!D$112,-_xlfn.IFS(D91&gt;=L$69, N$69+(D91-L$69)*O$69,D91&gt;=L$68, N$68+(D91-L$68)*O$68,D91&gt;=L$67, N$67+(D91-L$67)*O$67,D91&lt;L$67,D91*O$66)),0)</f>
        <v>0</v>
      </c>
      <c r="F91" s="18">
        <f t="shared" si="7"/>
        <v>0</v>
      </c>
      <c r="G91" s="1">
        <f t="shared" si="8"/>
        <v>0</v>
      </c>
      <c r="I91" s="1"/>
      <c r="J91" s="1"/>
    </row>
    <row r="92" spans="1:10" x14ac:dyDescent="0.3">
      <c r="A92" s="1">
        <f t="shared" si="6"/>
        <v>0</v>
      </c>
      <c r="C92" s="1" cm="1">
        <f t="array" ref="C92">_xlfn.IFS(Projections!BJ92=0,0,AND(OR(Setup!I$4=Lookups!D$109,Setup!I$4=Lookups!D$112),Projections!BJ92&gt;P$15),0,AND(OR(Setup!I$4=Lookups!D$110,Setup!I$4=Lookups!D$111),Projections!BJ92&gt;P$14),0,AND(OR(Setup!I$4=Lookups!D$109,Setup!I$4=Lookups!D$112),Projections!BJ92&gt;O$15),VLOOKUP(Setup!I$4,K$17:P$20,6),AND(OR(Setup!I$4=Lookups!D$110,Setup!I$4=Lookups!D$111),Projections!BJ92&gt;O$14),VLOOKUP(Setup!I$4,K$17:P$20,6),AND(OR(Setup!I$4=Lookups!D$109,Setup!I$4=Lookups!D$112),Projections!BJ92&gt;N$15),VLOOKUP(Setup!I$4,K$17:P$20,5),AND(OR(Setup!I$4=Lookups!D$110,Setup!I$4=Lookups!D$111),Projections!BJ92&gt;N$14),VLOOKUP(Setup!I$4,K$17:P$20,5),AND(OR(Setup!I$4=Lookups!D$109,Setup!I$4=Lookups!D$112),Projections!BJ92&gt;M$15),VLOOKUP(Setup!I$4,K$17:P$20,4),AND(OR(Setup!I$4=Lookups!D$110,Setup!I$4=Lookups!D$111),Projections!BJ92&gt;M$14),VLOOKUP(Setup!I$4,K$17:P$20,4),AND(OR(Setup!I$4=Lookups!D$109,Setup!I$4=Lookups!D$112),Projections!BJ92&gt;L$15),VLOOKUP(Setup!I$4,K$17:P$20,3),AND(OR(Setup!I$4=Lookups!D$110,Setup!I$4=Lookups!D$111),Projections!BJ92&gt;L$14),VLOOKUP(Setup!I$4,K$17:P$20,3),AND(OR(Setup!I$4=Lookups!D$109,Setup!I$4=Lookups!D$112),Projections!BJ92&lt;L$15),VLOOKUP(Setup!I$4,K$17:P$20,2),AND(OR(Setup!I$4=Lookups!D$110,Setup!I$4=Lookups!D$111),Projections!BJ92&lt;L$14),VLOOKUP(Setup!I$4,K$17:P$20,2))</f>
        <v>0</v>
      </c>
      <c r="D92" s="1">
        <f>IF(Projections!AW92+Projections!BG92&gt;0,Projections!AW92+Projections!BG92-C92-VLOOKUP(Setup!I$4,K$23:L$26,2)-IF(VLOOKUP(Setup!I$4,K$31:L$34,2)&gt;Projections!AW92+Projections!BG92,IF(OR(Setup!I$4="Head of household",Setup!I$4="Married filing jointly"),2*L$29, L$29),0),0)</f>
        <v>0</v>
      </c>
      <c r="E92" s="1" cm="1">
        <f t="array" ref="E92">IF(D92&gt;0,_xlfn.IFS(Setup!I$4=Lookups!D$109,-_xlfn.IFS(D92&gt;=L$48, N$48+(D92-L$48)*O$48,D92&gt;=L$47, N$47+(D92-L$47)*O$47,D92&gt;=L$46,N$46+(D92-L$46)*O$46,D92&lt;L$46,D92*O$45),Setup!I$4=Lookups!D$110,-_xlfn.IFS(D92&gt;=L$55, N$55+(D92-L$55)*O$55,D92&gt;=L$54, N$54+(D92-L$54)*O$54,D92&gt;=L$53, N$53+(D92-L$53)*O$53,D92&lt;L$53,D92*O$52),Setup!I$4=Lookups!D$111,-_xlfn.IFS(D92&gt;=L$62, N$62+(D92-L$62)*O$62,D92&gt;=L$61, N$61+(D92-L$61)*O$61,D92&gt;=L$60, N$60+(D92-L$60)*O$60,D92&lt;L$60,D92*O$59), Setup!I$4=Lookups!D$112,-_xlfn.IFS(D92&gt;=L$69, N$69+(D92-L$69)*O$69,D92&gt;=L$68, N$68+(D92-L$68)*O$68,D92&gt;=L$67, N$67+(D92-L$67)*O$67,D92&lt;L$67,D92*O$66)),0)</f>
        <v>0</v>
      </c>
      <c r="F92" s="18">
        <f t="shared" si="7"/>
        <v>0</v>
      </c>
      <c r="G92" s="1">
        <f t="shared" si="8"/>
        <v>0</v>
      </c>
      <c r="I92" s="1"/>
      <c r="J92" s="1"/>
    </row>
    <row r="104" spans="1:7" x14ac:dyDescent="0.3">
      <c r="A104" s="451" t="s">
        <v>173</v>
      </c>
      <c r="B104" s="452"/>
      <c r="C104" s="452"/>
      <c r="D104" s="452"/>
      <c r="E104" s="452"/>
      <c r="F104" s="452"/>
      <c r="G104" s="453"/>
    </row>
    <row r="105" spans="1:7" x14ac:dyDescent="0.3">
      <c r="A105" s="243" t="s">
        <v>2</v>
      </c>
      <c r="C105" s="243" t="s">
        <v>175</v>
      </c>
      <c r="D105" s="128" t="s">
        <v>144</v>
      </c>
      <c r="E105" s="128" t="s">
        <v>113</v>
      </c>
      <c r="F105" s="128" t="s">
        <v>114</v>
      </c>
      <c r="G105" s="128" t="s">
        <v>115</v>
      </c>
    </row>
    <row r="106" spans="1:7" ht="15" thickBot="1" x14ac:dyDescent="0.35">
      <c r="A106" s="230" t="s">
        <v>108</v>
      </c>
      <c r="C106" s="236" t="s">
        <v>1</v>
      </c>
      <c r="D106" s="241" t="s">
        <v>96</v>
      </c>
      <c r="E106" s="155" t="s">
        <v>108</v>
      </c>
      <c r="F106" s="155" t="s">
        <v>108</v>
      </c>
      <c r="G106" s="155" t="s">
        <v>108</v>
      </c>
    </row>
    <row r="107" spans="1:7" x14ac:dyDescent="0.3">
      <c r="A107" s="1">
        <f t="shared" ref="A107:A170" si="9">E107+G107</f>
        <v>0</v>
      </c>
      <c r="C107" s="1">
        <f t="shared" ref="C107:C138" si="10">D7</f>
        <v>0</v>
      </c>
      <c r="D107" s="1">
        <f>IF(Projections!BS7&gt;0,Projections!BS7,0)</f>
        <v>0</v>
      </c>
      <c r="E107" s="1" cm="1">
        <f t="array" ref="E107">_xlfn.IFS(Setup!I$4=Lookups!D$109,-_xlfn.IFS(C107+D107&gt;=L$48, D107*O$48,C107+D107&gt;=L$47, D107*O$47,C107+D107&gt;=L$46,D107*O$46,C107+D107&lt;L$46,D107*O$45),Setup!I$4=Lookups!D$110,-_xlfn.IFS(C107+D107&gt;=L$55, D107*O$55,C107+D107&gt;=L$54, D107*O$54,C107+D107&gt;=L$53, D107*O$53,C107+D107&lt;L$53,D107*O$52),Setup!I$4=Lookups!D$111,-_xlfn.IFS(C107+D107&gt;=L$62, D107*O$62,C107+D107&gt;=L$61, D107*O$61,C107+D107&gt;=L$60, D107*O$60,C107+D107&lt;L$60,D107*O$59), Setup!I$4=Lookups!D$112,-_xlfn.IFS(C107+D107&gt;=L$69, D107*O$69,C107+D107&gt;=L$68, D107*O$68,C107+D107&gt;=L$67, D107*O$67,C107+D107&lt;L$67,D107*O$66))</f>
        <v>0</v>
      </c>
      <c r="F107" s="18">
        <f t="shared" ref="F107:F138" si="11">IF(D107=0,0,-E107/D107)</f>
        <v>0</v>
      </c>
      <c r="G107" s="1">
        <f t="shared" ref="G107:G138" si="12">IF(D107=0,0,(E107*F107^2)+(E107*F107^3)+(E107*F107^4)+(E107*F107^5)+(E107*F107^6)+(E107*F107^7)+(E107*F107^8)+(E107*F107^9)+(E107*F107^10))</f>
        <v>0</v>
      </c>
    </row>
    <row r="108" spans="1:7" x14ac:dyDescent="0.3">
      <c r="A108" s="1">
        <f t="shared" si="9"/>
        <v>0</v>
      </c>
      <c r="C108" s="1">
        <f t="shared" si="10"/>
        <v>0</v>
      </c>
      <c r="D108" s="1">
        <f>IF(Projections!BS8&gt;0,Projections!BS8,0)</f>
        <v>0</v>
      </c>
      <c r="E108" s="1" cm="1">
        <f t="array" ref="E108">_xlfn.IFS(Setup!I$4=Lookups!D$109,-_xlfn.IFS(C108+D108&gt;=L$48, D108*O$48,C108+D108&gt;=L$47, D108*O$47,C108+D108&gt;=L$46,D108*O$46,C108+D108&lt;L$46,D108*O$45),Setup!I$4=Lookups!D$110,-_xlfn.IFS(C108+D108&gt;=L$55, D108*O$55,C108+D108&gt;=L$54, D108*O$54,C108+D108&gt;=L$53, D108*O$53,C108+D108&lt;L$53,D108*O$52),Setup!I$4=Lookups!D$111,-_xlfn.IFS(C108+D108&gt;=L$62, D108*O$62,C108+D108&gt;=L$61, D108*O$61,C108+D108&gt;=L$60, D108*O$60,C108+D108&lt;L$60,D108*O$59), Setup!I$4=Lookups!D$112,-_xlfn.IFS(C108+D108&gt;=L$69, D108*O$69,C108+D108&gt;=L$68, D108*O$68,C108+D108&gt;=L$67, D108*O$67,C108+D108&lt;L$67,D108*O$66))</f>
        <v>0</v>
      </c>
      <c r="F108" s="18">
        <f t="shared" si="11"/>
        <v>0</v>
      </c>
      <c r="G108" s="1">
        <f t="shared" si="12"/>
        <v>0</v>
      </c>
    </row>
    <row r="109" spans="1:7" x14ac:dyDescent="0.3">
      <c r="A109" s="1">
        <f t="shared" si="9"/>
        <v>0</v>
      </c>
      <c r="C109" s="1">
        <f t="shared" si="10"/>
        <v>0</v>
      </c>
      <c r="D109" s="1">
        <f>IF(Projections!BS9&gt;0,Projections!BS9,0)</f>
        <v>0</v>
      </c>
      <c r="E109" s="1" cm="1">
        <f t="array" ref="E109">_xlfn.IFS(Setup!I$4=Lookups!D$109,-_xlfn.IFS(C109+D109&gt;=L$48, D109*O$48,C109+D109&gt;=L$47, D109*O$47,C109+D109&gt;=L$46,D109*O$46,C109+D109&lt;L$46,D109*O$45),Setup!I$4=Lookups!D$110,-_xlfn.IFS(C109+D109&gt;=L$55, D109*O$55,C109+D109&gt;=L$54, D109*O$54,C109+D109&gt;=L$53, D109*O$53,C109+D109&lt;L$53,D109*O$52),Setup!I$4=Lookups!D$111,-_xlfn.IFS(C109+D109&gt;=L$62, D109*O$62,C109+D109&gt;=L$61, D109*O$61,C109+D109&gt;=L$60, D109*O$60,C109+D109&lt;L$60,D109*O$59), Setup!I$4=Lookups!D$112,-_xlfn.IFS(C109+D109&gt;=L$69, D109*O$69,C109+D109&gt;=L$68, D109*O$68,C109+D109&gt;=L$67, D109*O$67,C109+D109&lt;L$67,D109*O$66))</f>
        <v>0</v>
      </c>
      <c r="F109" s="18">
        <f t="shared" si="11"/>
        <v>0</v>
      </c>
      <c r="G109" s="1">
        <f t="shared" si="12"/>
        <v>0</v>
      </c>
    </row>
    <row r="110" spans="1:7" x14ac:dyDescent="0.3">
      <c r="A110" s="1">
        <f t="shared" si="9"/>
        <v>0</v>
      </c>
      <c r="C110" s="1">
        <f t="shared" si="10"/>
        <v>0</v>
      </c>
      <c r="D110" s="1">
        <f>IF(Projections!BS10&gt;0,Projections!BS10,0)</f>
        <v>0</v>
      </c>
      <c r="E110" s="1" cm="1">
        <f t="array" ref="E110">_xlfn.IFS(Setup!I$4=Lookups!D$109,-_xlfn.IFS(C110+D110&gt;=L$48, D110*O$48,C110+D110&gt;=L$47, D110*O$47,C110+D110&gt;=L$46,D110*O$46,C110+D110&lt;L$46,D110*O$45),Setup!I$4=Lookups!D$110,-_xlfn.IFS(C110+D110&gt;=L$55, D110*O$55,C110+D110&gt;=L$54, D110*O$54,C110+D110&gt;=L$53, D110*O$53,C110+D110&lt;L$53,D110*O$52),Setup!I$4=Lookups!D$111,-_xlfn.IFS(C110+D110&gt;=L$62, D110*O$62,C110+D110&gt;=L$61, D110*O$61,C110+D110&gt;=L$60, D110*O$60,C110+D110&lt;L$60,D110*O$59), Setup!I$4=Lookups!D$112,-_xlfn.IFS(C110+D110&gt;=L$69, D110*O$69,C110+D110&gt;=L$68, D110*O$68,C110+D110&gt;=L$67, D110*O$67,C110+D110&lt;L$67,D110*O$66))</f>
        <v>0</v>
      </c>
      <c r="F110" s="18">
        <f t="shared" si="11"/>
        <v>0</v>
      </c>
      <c r="G110" s="1">
        <f t="shared" si="12"/>
        <v>0</v>
      </c>
    </row>
    <row r="111" spans="1:7" x14ac:dyDescent="0.3">
      <c r="A111" s="1">
        <f t="shared" si="9"/>
        <v>0</v>
      </c>
      <c r="C111" s="1">
        <f t="shared" si="10"/>
        <v>0</v>
      </c>
      <c r="D111" s="1">
        <f>IF(Projections!BS11&gt;0,Projections!BS11,0)</f>
        <v>0</v>
      </c>
      <c r="E111" s="1" cm="1">
        <f t="array" ref="E111">_xlfn.IFS(Setup!I$4=Lookups!D$109,-_xlfn.IFS(C111+D111&gt;=L$48, D111*O$48,C111+D111&gt;=L$47, D111*O$47,C111+D111&gt;=L$46,D111*O$46,C111+D111&lt;L$46,D111*O$45),Setup!I$4=Lookups!D$110,-_xlfn.IFS(C111+D111&gt;=L$55, D111*O$55,C111+D111&gt;=L$54, D111*O$54,C111+D111&gt;=L$53, D111*O$53,C111+D111&lt;L$53,D111*O$52),Setup!I$4=Lookups!D$111,-_xlfn.IFS(C111+D111&gt;=L$62, D111*O$62,C111+D111&gt;=L$61, D111*O$61,C111+D111&gt;=L$60, D111*O$60,C111+D111&lt;L$60,D111*O$59), Setup!I$4=Lookups!D$112,-_xlfn.IFS(C111+D111&gt;=L$69, D111*O$69,C111+D111&gt;=L$68, D111*O$68,C111+D111&gt;=L$67, D111*O$67,C111+D111&lt;L$67,D111*O$66))</f>
        <v>0</v>
      </c>
      <c r="F111" s="18">
        <f t="shared" si="11"/>
        <v>0</v>
      </c>
      <c r="G111" s="1">
        <f t="shared" si="12"/>
        <v>0</v>
      </c>
    </row>
    <row r="112" spans="1:7" x14ac:dyDescent="0.3">
      <c r="A112" s="1">
        <f t="shared" si="9"/>
        <v>0</v>
      </c>
      <c r="C112" s="1">
        <f t="shared" si="10"/>
        <v>0</v>
      </c>
      <c r="D112" s="1">
        <f>IF(Projections!BS12&gt;0,Projections!BS12,0)</f>
        <v>0</v>
      </c>
      <c r="E112" s="1" cm="1">
        <f t="array" ref="E112">_xlfn.IFS(Setup!I$4=Lookups!D$109,-_xlfn.IFS(C112+D112&gt;=L$48, D112*O$48,C112+D112&gt;=L$47, D112*O$47,C112+D112&gt;=L$46,D112*O$46,C112+D112&lt;L$46,D112*O$45),Setup!I$4=Lookups!D$110,-_xlfn.IFS(C112+D112&gt;=L$55, D112*O$55,C112+D112&gt;=L$54, D112*O$54,C112+D112&gt;=L$53, D112*O$53,C112+D112&lt;L$53,D112*O$52),Setup!I$4=Lookups!D$111,-_xlfn.IFS(C112+D112&gt;=L$62, D112*O$62,C112+D112&gt;=L$61, D112*O$61,C112+D112&gt;=L$60, D112*O$60,C112+D112&lt;L$60,D112*O$59), Setup!I$4=Lookups!D$112,-_xlfn.IFS(C112+D112&gt;=L$69, D112*O$69,C112+D112&gt;=L$68, D112*O$68,C112+D112&gt;=L$67, D112*O$67,C112+D112&lt;L$67,D112*O$66))</f>
        <v>0</v>
      </c>
      <c r="F112" s="18">
        <f t="shared" si="11"/>
        <v>0</v>
      </c>
      <c r="G112" s="1">
        <f t="shared" si="12"/>
        <v>0</v>
      </c>
    </row>
    <row r="113" spans="1:7" x14ac:dyDescent="0.3">
      <c r="A113" s="1">
        <f t="shared" si="9"/>
        <v>0</v>
      </c>
      <c r="C113" s="1">
        <f t="shared" si="10"/>
        <v>0</v>
      </c>
      <c r="D113" s="1">
        <f>IF(Projections!BS13&gt;0,Projections!BS13,0)</f>
        <v>0</v>
      </c>
      <c r="E113" s="1" cm="1">
        <f t="array" ref="E113">_xlfn.IFS(Setup!I$4=Lookups!D$109,-_xlfn.IFS(C113+D113&gt;=L$48, D113*O$48,C113+D113&gt;=L$47, D113*O$47,C113+D113&gt;=L$46,D113*O$46,C113+D113&lt;L$46,D113*O$45),Setup!I$4=Lookups!D$110,-_xlfn.IFS(C113+D113&gt;=L$55, D113*O$55,C113+D113&gt;=L$54, D113*O$54,C113+D113&gt;=L$53, D113*O$53,C113+D113&lt;L$53,D113*O$52),Setup!I$4=Lookups!D$111,-_xlfn.IFS(C113+D113&gt;=L$62, D113*O$62,C113+D113&gt;=L$61, D113*O$61,C113+D113&gt;=L$60, D113*O$60,C113+D113&lt;L$60,D113*O$59), Setup!I$4=Lookups!D$112,-_xlfn.IFS(C113+D113&gt;=L$69, D113*O$69,C113+D113&gt;=L$68, D113*O$68,C113+D113&gt;=L$67, D113*O$67,C113+D113&lt;L$67,D113*O$66))</f>
        <v>0</v>
      </c>
      <c r="F113" s="18">
        <f t="shared" si="11"/>
        <v>0</v>
      </c>
      <c r="G113" s="1">
        <f t="shared" si="12"/>
        <v>0</v>
      </c>
    </row>
    <row r="114" spans="1:7" x14ac:dyDescent="0.3">
      <c r="A114" s="1">
        <f t="shared" si="9"/>
        <v>0</v>
      </c>
      <c r="C114" s="1">
        <f t="shared" si="10"/>
        <v>0</v>
      </c>
      <c r="D114" s="1">
        <f>IF(Projections!BS14&gt;0,Projections!BS14,0)</f>
        <v>0</v>
      </c>
      <c r="E114" s="1" cm="1">
        <f t="array" ref="E114">_xlfn.IFS(Setup!I$4=Lookups!D$109,-_xlfn.IFS(C114+D114&gt;=L$48, D114*O$48,C114+D114&gt;=L$47, D114*O$47,C114+D114&gt;=L$46,D114*O$46,C114+D114&lt;L$46,D114*O$45),Setup!I$4=Lookups!D$110,-_xlfn.IFS(C114+D114&gt;=L$55, D114*O$55,C114+D114&gt;=L$54, D114*O$54,C114+D114&gt;=L$53, D114*O$53,C114+D114&lt;L$53,D114*O$52),Setup!I$4=Lookups!D$111,-_xlfn.IFS(C114+D114&gt;=L$62, D114*O$62,C114+D114&gt;=L$61, D114*O$61,C114+D114&gt;=L$60, D114*O$60,C114+D114&lt;L$60,D114*O$59), Setup!I$4=Lookups!D$112,-_xlfn.IFS(C114+D114&gt;=L$69, D114*O$69,C114+D114&gt;=L$68, D114*O$68,C114+D114&gt;=L$67, D114*O$67,C114+D114&lt;L$67,D114*O$66))</f>
        <v>0</v>
      </c>
      <c r="F114" s="18">
        <f t="shared" si="11"/>
        <v>0</v>
      </c>
      <c r="G114" s="1">
        <f t="shared" si="12"/>
        <v>0</v>
      </c>
    </row>
    <row r="115" spans="1:7" x14ac:dyDescent="0.3">
      <c r="A115" s="1">
        <f t="shared" si="9"/>
        <v>0</v>
      </c>
      <c r="C115" s="1">
        <f t="shared" si="10"/>
        <v>0</v>
      </c>
      <c r="D115" s="1">
        <f>IF(Projections!BS15&gt;0,Projections!BS15,0)</f>
        <v>0</v>
      </c>
      <c r="E115" s="1" cm="1">
        <f t="array" ref="E115">_xlfn.IFS(Setup!I$4=Lookups!D$109,-_xlfn.IFS(C115+D115&gt;=L$48, D115*O$48,C115+D115&gt;=L$47, D115*O$47,C115+D115&gt;=L$46,D115*O$46,C115+D115&lt;L$46,D115*O$45),Setup!I$4=Lookups!D$110,-_xlfn.IFS(C115+D115&gt;=L$55, D115*O$55,C115+D115&gt;=L$54, D115*O$54,C115+D115&gt;=L$53, D115*O$53,C115+D115&lt;L$53,D115*O$52),Setup!I$4=Lookups!D$111,-_xlfn.IFS(C115+D115&gt;=L$62, D115*O$62,C115+D115&gt;=L$61, D115*O$61,C115+D115&gt;=L$60, D115*O$60,C115+D115&lt;L$60,D115*O$59), Setup!I$4=Lookups!D$112,-_xlfn.IFS(C115+D115&gt;=L$69, D115*O$69,C115+D115&gt;=L$68, D115*O$68,C115+D115&gt;=L$67, D115*O$67,C115+D115&lt;L$67,D115*O$66))</f>
        <v>0</v>
      </c>
      <c r="F115" s="18">
        <f t="shared" si="11"/>
        <v>0</v>
      </c>
      <c r="G115" s="1">
        <f t="shared" si="12"/>
        <v>0</v>
      </c>
    </row>
    <row r="116" spans="1:7" x14ac:dyDescent="0.3">
      <c r="A116" s="1">
        <f t="shared" si="9"/>
        <v>0</v>
      </c>
      <c r="C116" s="1">
        <f t="shared" si="10"/>
        <v>0</v>
      </c>
      <c r="D116" s="1">
        <f>IF(Projections!BS16&gt;0,Projections!BS16,0)</f>
        <v>0</v>
      </c>
      <c r="E116" s="1" cm="1">
        <f t="array" ref="E116">_xlfn.IFS(Setup!I$4=Lookups!D$109,-_xlfn.IFS(C116+D116&gt;=L$48, D116*O$48,C116+D116&gt;=L$47, D116*O$47,C116+D116&gt;=L$46,D116*O$46,C116+D116&lt;L$46,D116*O$45),Setup!I$4=Lookups!D$110,-_xlfn.IFS(C116+D116&gt;=L$55, D116*O$55,C116+D116&gt;=L$54, D116*O$54,C116+D116&gt;=L$53, D116*O$53,C116+D116&lt;L$53,D116*O$52),Setup!I$4=Lookups!D$111,-_xlfn.IFS(C116+D116&gt;=L$62, D116*O$62,C116+D116&gt;=L$61, D116*O$61,C116+D116&gt;=L$60, D116*O$60,C116+D116&lt;L$60,D116*O$59), Setup!I$4=Lookups!D$112,-_xlfn.IFS(C116+D116&gt;=L$69, D116*O$69,C116+D116&gt;=L$68, D116*O$68,C116+D116&gt;=L$67, D116*O$67,C116+D116&lt;L$67,D116*O$66))</f>
        <v>0</v>
      </c>
      <c r="F116" s="18">
        <f t="shared" si="11"/>
        <v>0</v>
      </c>
      <c r="G116" s="1">
        <f t="shared" si="12"/>
        <v>0</v>
      </c>
    </row>
    <row r="117" spans="1:7" x14ac:dyDescent="0.3">
      <c r="A117" s="1">
        <f t="shared" si="9"/>
        <v>0</v>
      </c>
      <c r="C117" s="1">
        <f t="shared" si="10"/>
        <v>0</v>
      </c>
      <c r="D117" s="1">
        <f>IF(Projections!BS17&gt;0,Projections!BS17,0)</f>
        <v>0</v>
      </c>
      <c r="E117" s="1" cm="1">
        <f t="array" ref="E117">_xlfn.IFS(Setup!I$4=Lookups!D$109,-_xlfn.IFS(C117+D117&gt;=L$48, D117*O$48,C117+D117&gt;=L$47, D117*O$47,C117+D117&gt;=L$46,D117*O$46,C117+D117&lt;L$46,D117*O$45),Setup!I$4=Lookups!D$110,-_xlfn.IFS(C117+D117&gt;=L$55, D117*O$55,C117+D117&gt;=L$54, D117*O$54,C117+D117&gt;=L$53, D117*O$53,C117+D117&lt;L$53,D117*O$52),Setup!I$4=Lookups!D$111,-_xlfn.IFS(C117+D117&gt;=L$62, D117*O$62,C117+D117&gt;=L$61, D117*O$61,C117+D117&gt;=L$60, D117*O$60,C117+D117&lt;L$60,D117*O$59), Setup!I$4=Lookups!D$112,-_xlfn.IFS(C117+D117&gt;=L$69, D117*O$69,C117+D117&gt;=L$68, D117*O$68,C117+D117&gt;=L$67, D117*O$67,C117+D117&lt;L$67,D117*O$66))</f>
        <v>0</v>
      </c>
      <c r="F117" s="18">
        <f t="shared" si="11"/>
        <v>0</v>
      </c>
      <c r="G117" s="1">
        <f t="shared" si="12"/>
        <v>0</v>
      </c>
    </row>
    <row r="118" spans="1:7" x14ac:dyDescent="0.3">
      <c r="A118" s="1">
        <f t="shared" si="9"/>
        <v>0</v>
      </c>
      <c r="C118" s="1">
        <f t="shared" si="10"/>
        <v>0</v>
      </c>
      <c r="D118" s="1">
        <f>IF(Projections!BS18&gt;0,Projections!BS18,0)</f>
        <v>0</v>
      </c>
      <c r="E118" s="1" cm="1">
        <f t="array" ref="E118">_xlfn.IFS(Setup!I$4=Lookups!D$109,-_xlfn.IFS(C118+D118&gt;=L$48, D118*O$48,C118+D118&gt;=L$47, D118*O$47,C118+D118&gt;=L$46,D118*O$46,C118+D118&lt;L$46,D118*O$45),Setup!I$4=Lookups!D$110,-_xlfn.IFS(C118+D118&gt;=L$55, D118*O$55,C118+D118&gt;=L$54, D118*O$54,C118+D118&gt;=L$53, D118*O$53,C118+D118&lt;L$53,D118*O$52),Setup!I$4=Lookups!D$111,-_xlfn.IFS(C118+D118&gt;=L$62, D118*O$62,C118+D118&gt;=L$61, D118*O$61,C118+D118&gt;=L$60, D118*O$60,C118+D118&lt;L$60,D118*O$59), Setup!I$4=Lookups!D$112,-_xlfn.IFS(C118+D118&gt;=L$69, D118*O$69,C118+D118&gt;=L$68, D118*O$68,C118+D118&gt;=L$67, D118*O$67,C118+D118&lt;L$67,D118*O$66))</f>
        <v>0</v>
      </c>
      <c r="F118" s="18">
        <f t="shared" si="11"/>
        <v>0</v>
      </c>
      <c r="G118" s="1">
        <f t="shared" si="12"/>
        <v>0</v>
      </c>
    </row>
    <row r="119" spans="1:7" x14ac:dyDescent="0.3">
      <c r="A119" s="1">
        <f t="shared" si="9"/>
        <v>0</v>
      </c>
      <c r="C119" s="1">
        <f t="shared" si="10"/>
        <v>0</v>
      </c>
      <c r="D119" s="1">
        <f>IF(Projections!BS19&gt;0,Projections!BS19,0)</f>
        <v>0</v>
      </c>
      <c r="E119" s="1" cm="1">
        <f t="array" ref="E119">_xlfn.IFS(Setup!I$4=Lookups!D$109,-_xlfn.IFS(C119+D119&gt;=L$48, D119*O$48,C119+D119&gt;=L$47, D119*O$47,C119+D119&gt;=L$46,D119*O$46,C119+D119&lt;L$46,D119*O$45),Setup!I$4=Lookups!D$110,-_xlfn.IFS(C119+D119&gt;=L$55, D119*O$55,C119+D119&gt;=L$54, D119*O$54,C119+D119&gt;=L$53, D119*O$53,C119+D119&lt;L$53,D119*O$52),Setup!I$4=Lookups!D$111,-_xlfn.IFS(C119+D119&gt;=L$62, D119*O$62,C119+D119&gt;=L$61, D119*O$61,C119+D119&gt;=L$60, D119*O$60,C119+D119&lt;L$60,D119*O$59), Setup!I$4=Lookups!D$112,-_xlfn.IFS(C119+D119&gt;=L$69, D119*O$69,C119+D119&gt;=L$68, D119*O$68,C119+D119&gt;=L$67, D119*O$67,C119+D119&lt;L$67,D119*O$66))</f>
        <v>0</v>
      </c>
      <c r="F119" s="18">
        <f t="shared" si="11"/>
        <v>0</v>
      </c>
      <c r="G119" s="1">
        <f t="shared" si="12"/>
        <v>0</v>
      </c>
    </row>
    <row r="120" spans="1:7" x14ac:dyDescent="0.3">
      <c r="A120" s="1">
        <f t="shared" si="9"/>
        <v>0</v>
      </c>
      <c r="C120" s="1">
        <f t="shared" si="10"/>
        <v>0</v>
      </c>
      <c r="D120" s="1">
        <f>IF(Projections!BS20&gt;0,Projections!BS20,0)</f>
        <v>0</v>
      </c>
      <c r="E120" s="1" cm="1">
        <f t="array" ref="E120">_xlfn.IFS(Setup!I$4=Lookups!D$109,-_xlfn.IFS(C120+D120&gt;=L$48, D120*O$48,C120+D120&gt;=L$47, D120*O$47,C120+D120&gt;=L$46,D120*O$46,C120+D120&lt;L$46,D120*O$45),Setup!I$4=Lookups!D$110,-_xlfn.IFS(C120+D120&gt;=L$55, D120*O$55,C120+D120&gt;=L$54, D120*O$54,C120+D120&gt;=L$53, D120*O$53,C120+D120&lt;L$53,D120*O$52),Setup!I$4=Lookups!D$111,-_xlfn.IFS(C120+D120&gt;=L$62, D120*O$62,C120+D120&gt;=L$61, D120*O$61,C120+D120&gt;=L$60, D120*O$60,C120+D120&lt;L$60,D120*O$59), Setup!I$4=Lookups!D$112,-_xlfn.IFS(C120+D120&gt;=L$69, D120*O$69,C120+D120&gt;=L$68, D120*O$68,C120+D120&gt;=L$67, D120*O$67,C120+D120&lt;L$67,D120*O$66))</f>
        <v>0</v>
      </c>
      <c r="F120" s="18">
        <f t="shared" si="11"/>
        <v>0</v>
      </c>
      <c r="G120" s="1">
        <f t="shared" si="12"/>
        <v>0</v>
      </c>
    </row>
    <row r="121" spans="1:7" x14ac:dyDescent="0.3">
      <c r="A121" s="1">
        <f t="shared" si="9"/>
        <v>0</v>
      </c>
      <c r="C121" s="1">
        <f t="shared" si="10"/>
        <v>0</v>
      </c>
      <c r="D121" s="1">
        <f>IF(Projections!BS21&gt;0,Projections!BS21,0)</f>
        <v>0</v>
      </c>
      <c r="E121" s="1" cm="1">
        <f t="array" ref="E121">_xlfn.IFS(Setup!I$4=Lookups!D$109,-_xlfn.IFS(C121+D121&gt;=L$48, D121*O$48,C121+D121&gt;=L$47, D121*O$47,C121+D121&gt;=L$46,D121*O$46,C121+D121&lt;L$46,D121*O$45),Setup!I$4=Lookups!D$110,-_xlfn.IFS(C121+D121&gt;=L$55, D121*O$55,C121+D121&gt;=L$54, D121*O$54,C121+D121&gt;=L$53, D121*O$53,C121+D121&lt;L$53,D121*O$52),Setup!I$4=Lookups!D$111,-_xlfn.IFS(C121+D121&gt;=L$62, D121*O$62,C121+D121&gt;=L$61, D121*O$61,C121+D121&gt;=L$60, D121*O$60,C121+D121&lt;L$60,D121*O$59), Setup!I$4=Lookups!D$112,-_xlfn.IFS(C121+D121&gt;=L$69, D121*O$69,C121+D121&gt;=L$68, D121*O$68,C121+D121&gt;=L$67, D121*O$67,C121+D121&lt;L$67,D121*O$66))</f>
        <v>0</v>
      </c>
      <c r="F121" s="18">
        <f t="shared" si="11"/>
        <v>0</v>
      </c>
      <c r="G121" s="1">
        <f t="shared" si="12"/>
        <v>0</v>
      </c>
    </row>
    <row r="122" spans="1:7" x14ac:dyDescent="0.3">
      <c r="A122" s="1">
        <f t="shared" si="9"/>
        <v>0</v>
      </c>
      <c r="C122" s="1">
        <f t="shared" si="10"/>
        <v>0</v>
      </c>
      <c r="D122" s="1">
        <f>IF(Projections!BS22&gt;0,Projections!BS22,0)</f>
        <v>0</v>
      </c>
      <c r="E122" s="1" cm="1">
        <f t="array" ref="E122">_xlfn.IFS(Setup!I$4=Lookups!D$109,-_xlfn.IFS(C122+D122&gt;=L$48, D122*O$48,C122+D122&gt;=L$47, D122*O$47,C122+D122&gt;=L$46,D122*O$46,C122+D122&lt;L$46,D122*O$45),Setup!I$4=Lookups!D$110,-_xlfn.IFS(C122+D122&gt;=L$55, D122*O$55,C122+D122&gt;=L$54, D122*O$54,C122+D122&gt;=L$53, D122*O$53,C122+D122&lt;L$53,D122*O$52),Setup!I$4=Lookups!D$111,-_xlfn.IFS(C122+D122&gt;=L$62, D122*O$62,C122+D122&gt;=L$61, D122*O$61,C122+D122&gt;=L$60, D122*O$60,C122+D122&lt;L$60,D122*O$59), Setup!I$4=Lookups!D$112,-_xlfn.IFS(C122+D122&gt;=L$69, D122*O$69,C122+D122&gt;=L$68, D122*O$68,C122+D122&gt;=L$67, D122*O$67,C122+D122&lt;L$67,D122*O$66))</f>
        <v>0</v>
      </c>
      <c r="F122" s="18">
        <f t="shared" si="11"/>
        <v>0</v>
      </c>
      <c r="G122" s="1">
        <f t="shared" si="12"/>
        <v>0</v>
      </c>
    </row>
    <row r="123" spans="1:7" x14ac:dyDescent="0.3">
      <c r="A123" s="1">
        <f t="shared" si="9"/>
        <v>0</v>
      </c>
      <c r="C123" s="1">
        <f t="shared" si="10"/>
        <v>0</v>
      </c>
      <c r="D123" s="1">
        <f>IF(Projections!BS23&gt;0,Projections!BS23,0)</f>
        <v>0</v>
      </c>
      <c r="E123" s="1" cm="1">
        <f t="array" ref="E123">_xlfn.IFS(Setup!I$4=Lookups!D$109,-_xlfn.IFS(C123+D123&gt;=L$48, D123*O$48,C123+D123&gt;=L$47, D123*O$47,C123+D123&gt;=L$46,D123*O$46,C123+D123&lt;L$46,D123*O$45),Setup!I$4=Lookups!D$110,-_xlfn.IFS(C123+D123&gt;=L$55, D123*O$55,C123+D123&gt;=L$54, D123*O$54,C123+D123&gt;=L$53, D123*O$53,C123+D123&lt;L$53,D123*O$52),Setup!I$4=Lookups!D$111,-_xlfn.IFS(C123+D123&gt;=L$62, D123*O$62,C123+D123&gt;=L$61, D123*O$61,C123+D123&gt;=L$60, D123*O$60,C123+D123&lt;L$60,D123*O$59), Setup!I$4=Lookups!D$112,-_xlfn.IFS(C123+D123&gt;=L$69, D123*O$69,C123+D123&gt;=L$68, D123*O$68,C123+D123&gt;=L$67, D123*O$67,C123+D123&lt;L$67,D123*O$66))</f>
        <v>0</v>
      </c>
      <c r="F123" s="18">
        <f t="shared" si="11"/>
        <v>0</v>
      </c>
      <c r="G123" s="1">
        <f t="shared" si="12"/>
        <v>0</v>
      </c>
    </row>
    <row r="124" spans="1:7" x14ac:dyDescent="0.3">
      <c r="A124" s="1">
        <f t="shared" si="9"/>
        <v>0</v>
      </c>
      <c r="C124" s="1">
        <f t="shared" si="10"/>
        <v>0</v>
      </c>
      <c r="D124" s="1">
        <f>IF(Projections!BS24&gt;0,Projections!BS24,0)</f>
        <v>0</v>
      </c>
      <c r="E124" s="1" cm="1">
        <f t="array" ref="E124">_xlfn.IFS(Setup!I$4=Lookups!D$109,-_xlfn.IFS(C124+D124&gt;=L$48, D124*O$48,C124+D124&gt;=L$47, D124*O$47,C124+D124&gt;=L$46,D124*O$46,C124+D124&lt;L$46,D124*O$45),Setup!I$4=Lookups!D$110,-_xlfn.IFS(C124+D124&gt;=L$55, D124*O$55,C124+D124&gt;=L$54, D124*O$54,C124+D124&gt;=L$53, D124*O$53,C124+D124&lt;L$53,D124*O$52),Setup!I$4=Lookups!D$111,-_xlfn.IFS(C124+D124&gt;=L$62, D124*O$62,C124+D124&gt;=L$61, D124*O$61,C124+D124&gt;=L$60, D124*O$60,C124+D124&lt;L$60,D124*O$59), Setup!I$4=Lookups!D$112,-_xlfn.IFS(C124+D124&gt;=L$69, D124*O$69,C124+D124&gt;=L$68, D124*O$68,C124+D124&gt;=L$67, D124*O$67,C124+D124&lt;L$67,D124*O$66))</f>
        <v>0</v>
      </c>
      <c r="F124" s="18">
        <f t="shared" si="11"/>
        <v>0</v>
      </c>
      <c r="G124" s="1">
        <f t="shared" si="12"/>
        <v>0</v>
      </c>
    </row>
    <row r="125" spans="1:7" x14ac:dyDescent="0.3">
      <c r="A125" s="1">
        <f t="shared" si="9"/>
        <v>0</v>
      </c>
      <c r="C125" s="1">
        <f t="shared" si="10"/>
        <v>0</v>
      </c>
      <c r="D125" s="1">
        <f>IF(Projections!BS25&gt;0,Projections!BS25,0)</f>
        <v>0</v>
      </c>
      <c r="E125" s="1" cm="1">
        <f t="array" ref="E125">_xlfn.IFS(Setup!I$4=Lookups!D$109,-_xlfn.IFS(C125+D125&gt;=L$48, D125*O$48,C125+D125&gt;=L$47, D125*O$47,C125+D125&gt;=L$46,D125*O$46,C125+D125&lt;L$46,D125*O$45),Setup!I$4=Lookups!D$110,-_xlfn.IFS(C125+D125&gt;=L$55, D125*O$55,C125+D125&gt;=L$54, D125*O$54,C125+D125&gt;=L$53, D125*O$53,C125+D125&lt;L$53,D125*O$52),Setup!I$4=Lookups!D$111,-_xlfn.IFS(C125+D125&gt;=L$62, D125*O$62,C125+D125&gt;=L$61, D125*O$61,C125+D125&gt;=L$60, D125*O$60,C125+D125&lt;L$60,D125*O$59), Setup!I$4=Lookups!D$112,-_xlfn.IFS(C125+D125&gt;=L$69, D125*O$69,C125+D125&gt;=L$68, D125*O$68,C125+D125&gt;=L$67, D125*O$67,C125+D125&lt;L$67,D125*O$66))</f>
        <v>0</v>
      </c>
      <c r="F125" s="18">
        <f t="shared" si="11"/>
        <v>0</v>
      </c>
      <c r="G125" s="1">
        <f t="shared" si="12"/>
        <v>0</v>
      </c>
    </row>
    <row r="126" spans="1:7" x14ac:dyDescent="0.3">
      <c r="A126" s="1">
        <f t="shared" si="9"/>
        <v>0</v>
      </c>
      <c r="C126" s="1">
        <f t="shared" si="10"/>
        <v>0</v>
      </c>
      <c r="D126" s="1">
        <f>IF(Projections!BS26&gt;0,Projections!BS26,0)</f>
        <v>0</v>
      </c>
      <c r="E126" s="1" cm="1">
        <f t="array" ref="E126">_xlfn.IFS(Setup!I$4=Lookups!D$109,-_xlfn.IFS(C126+D126&gt;=L$48, D126*O$48,C126+D126&gt;=L$47, D126*O$47,C126+D126&gt;=L$46,D126*O$46,C126+D126&lt;L$46,D126*O$45),Setup!I$4=Lookups!D$110,-_xlfn.IFS(C126+D126&gt;=L$55, D126*O$55,C126+D126&gt;=L$54, D126*O$54,C126+D126&gt;=L$53, D126*O$53,C126+D126&lt;L$53,D126*O$52),Setup!I$4=Lookups!D$111,-_xlfn.IFS(C126+D126&gt;=L$62, D126*O$62,C126+D126&gt;=L$61, D126*O$61,C126+D126&gt;=L$60, D126*O$60,C126+D126&lt;L$60,D126*O$59), Setup!I$4=Lookups!D$112,-_xlfn.IFS(C126+D126&gt;=L$69, D126*O$69,C126+D126&gt;=L$68, D126*O$68,C126+D126&gt;=L$67, D126*O$67,C126+D126&lt;L$67,D126*O$66))</f>
        <v>0</v>
      </c>
      <c r="F126" s="18">
        <f t="shared" si="11"/>
        <v>0</v>
      </c>
      <c r="G126" s="1">
        <f t="shared" si="12"/>
        <v>0</v>
      </c>
    </row>
    <row r="127" spans="1:7" x14ac:dyDescent="0.3">
      <c r="A127" s="1">
        <f t="shared" si="9"/>
        <v>0</v>
      </c>
      <c r="C127" s="1">
        <f t="shared" si="10"/>
        <v>0</v>
      </c>
      <c r="D127" s="1">
        <f>IF(Projections!BS27&gt;0,Projections!BS27,0)</f>
        <v>0</v>
      </c>
      <c r="E127" s="1" cm="1">
        <f t="array" ref="E127">_xlfn.IFS(Setup!I$4=Lookups!D$109,-_xlfn.IFS(C127+D127&gt;=L$48, D127*O$48,C127+D127&gt;=L$47, D127*O$47,C127+D127&gt;=L$46,D127*O$46,C127+D127&lt;L$46,D127*O$45),Setup!I$4=Lookups!D$110,-_xlfn.IFS(C127+D127&gt;=L$55, D127*O$55,C127+D127&gt;=L$54, D127*O$54,C127+D127&gt;=L$53, D127*O$53,C127+D127&lt;L$53,D127*O$52),Setup!I$4=Lookups!D$111,-_xlfn.IFS(C127+D127&gt;=L$62, D127*O$62,C127+D127&gt;=L$61, D127*O$61,C127+D127&gt;=L$60, D127*O$60,C127+D127&lt;L$60,D127*O$59), Setup!I$4=Lookups!D$112,-_xlfn.IFS(C127+D127&gt;=L$69, D127*O$69,C127+D127&gt;=L$68, D127*O$68,C127+D127&gt;=L$67, D127*O$67,C127+D127&lt;L$67,D127*O$66))</f>
        <v>0</v>
      </c>
      <c r="F127" s="18">
        <f t="shared" si="11"/>
        <v>0</v>
      </c>
      <c r="G127" s="1">
        <f t="shared" si="12"/>
        <v>0</v>
      </c>
    </row>
    <row r="128" spans="1:7" x14ac:dyDescent="0.3">
      <c r="A128" s="1">
        <f t="shared" si="9"/>
        <v>0</v>
      </c>
      <c r="C128" s="1">
        <f t="shared" si="10"/>
        <v>0</v>
      </c>
      <c r="D128" s="1">
        <f>IF(Projections!BS28&gt;0,Projections!BS28,0)</f>
        <v>0</v>
      </c>
      <c r="E128" s="1" cm="1">
        <f t="array" ref="E128">_xlfn.IFS(Setup!I$4=Lookups!D$109,-_xlfn.IFS(C128+D128&gt;=L$48, D128*O$48,C128+D128&gt;=L$47, D128*O$47,C128+D128&gt;=L$46,D128*O$46,C128+D128&lt;L$46,D128*O$45),Setup!I$4=Lookups!D$110,-_xlfn.IFS(C128+D128&gt;=L$55, D128*O$55,C128+D128&gt;=L$54, D128*O$54,C128+D128&gt;=L$53, D128*O$53,C128+D128&lt;L$53,D128*O$52),Setup!I$4=Lookups!D$111,-_xlfn.IFS(C128+D128&gt;=L$62, D128*O$62,C128+D128&gt;=L$61, D128*O$61,C128+D128&gt;=L$60, D128*O$60,C128+D128&lt;L$60,D128*O$59), Setup!I$4=Lookups!D$112,-_xlfn.IFS(C128+D128&gt;=L$69, D128*O$69,C128+D128&gt;=L$68, D128*O$68,C128+D128&gt;=L$67, D128*O$67,C128+D128&lt;L$67,D128*O$66))</f>
        <v>0</v>
      </c>
      <c r="F128" s="18">
        <f t="shared" si="11"/>
        <v>0</v>
      </c>
      <c r="G128" s="1">
        <f t="shared" si="12"/>
        <v>0</v>
      </c>
    </row>
    <row r="129" spans="1:7" x14ac:dyDescent="0.3">
      <c r="A129" s="1">
        <f t="shared" si="9"/>
        <v>0</v>
      </c>
      <c r="C129" s="1">
        <f t="shared" si="10"/>
        <v>0</v>
      </c>
      <c r="D129" s="1">
        <f>IF(Projections!BS29&gt;0,Projections!BS29,0)</f>
        <v>0</v>
      </c>
      <c r="E129" s="1" cm="1">
        <f t="array" ref="E129">_xlfn.IFS(Setup!I$4=Lookups!D$109,-_xlfn.IFS(C129+D129&gt;=L$48, D129*O$48,C129+D129&gt;=L$47, D129*O$47,C129+D129&gt;=L$46,D129*O$46,C129+D129&lt;L$46,D129*O$45),Setup!I$4=Lookups!D$110,-_xlfn.IFS(C129+D129&gt;=L$55, D129*O$55,C129+D129&gt;=L$54, D129*O$54,C129+D129&gt;=L$53, D129*O$53,C129+D129&lt;L$53,D129*O$52),Setup!I$4=Lookups!D$111,-_xlfn.IFS(C129+D129&gt;=L$62, D129*O$62,C129+D129&gt;=L$61, D129*O$61,C129+D129&gt;=L$60, D129*O$60,C129+D129&lt;L$60,D129*O$59), Setup!I$4=Lookups!D$112,-_xlfn.IFS(C129+D129&gt;=L$69, D129*O$69,C129+D129&gt;=L$68, D129*O$68,C129+D129&gt;=L$67, D129*O$67,C129+D129&lt;L$67,D129*O$66))</f>
        <v>0</v>
      </c>
      <c r="F129" s="18">
        <f t="shared" si="11"/>
        <v>0</v>
      </c>
      <c r="G129" s="1">
        <f t="shared" si="12"/>
        <v>0</v>
      </c>
    </row>
    <row r="130" spans="1:7" x14ac:dyDescent="0.3">
      <c r="A130" s="1">
        <f t="shared" si="9"/>
        <v>0</v>
      </c>
      <c r="C130" s="1">
        <f t="shared" si="10"/>
        <v>0</v>
      </c>
      <c r="D130" s="1">
        <f>IF(Projections!BS30&gt;0,Projections!BS30,0)</f>
        <v>0</v>
      </c>
      <c r="E130" s="1" cm="1">
        <f t="array" ref="E130">_xlfn.IFS(Setup!I$4=Lookups!D$109,-_xlfn.IFS(C130+D130&gt;=L$48, D130*O$48,C130+D130&gt;=L$47, D130*O$47,C130+D130&gt;=L$46,D130*O$46,C130+D130&lt;L$46,D130*O$45),Setup!I$4=Lookups!D$110,-_xlfn.IFS(C130+D130&gt;=L$55, D130*O$55,C130+D130&gt;=L$54, D130*O$54,C130+D130&gt;=L$53, D130*O$53,C130+D130&lt;L$53,D130*O$52),Setup!I$4=Lookups!D$111,-_xlfn.IFS(C130+D130&gt;=L$62, D130*O$62,C130+D130&gt;=L$61, D130*O$61,C130+D130&gt;=L$60, D130*O$60,C130+D130&lt;L$60,D130*O$59), Setup!I$4=Lookups!D$112,-_xlfn.IFS(C130+D130&gt;=L$69, D130*O$69,C130+D130&gt;=L$68, D130*O$68,C130+D130&gt;=L$67, D130*O$67,C130+D130&lt;L$67,D130*O$66))</f>
        <v>0</v>
      </c>
      <c r="F130" s="18">
        <f t="shared" si="11"/>
        <v>0</v>
      </c>
      <c r="G130" s="1">
        <f t="shared" si="12"/>
        <v>0</v>
      </c>
    </row>
    <row r="131" spans="1:7" x14ac:dyDescent="0.3">
      <c r="A131" s="1">
        <f t="shared" si="9"/>
        <v>0</v>
      </c>
      <c r="C131" s="1">
        <f t="shared" si="10"/>
        <v>0</v>
      </c>
      <c r="D131" s="1">
        <f>IF(Projections!BS31&gt;0,Projections!BS31,0)</f>
        <v>0</v>
      </c>
      <c r="E131" s="1" cm="1">
        <f t="array" ref="E131">_xlfn.IFS(Setup!I$4=Lookups!D$109,-_xlfn.IFS(C131+D131&gt;=L$48, D131*O$48,C131+D131&gt;=L$47, D131*O$47,C131+D131&gt;=L$46,D131*O$46,C131+D131&lt;L$46,D131*O$45),Setup!I$4=Lookups!D$110,-_xlfn.IFS(C131+D131&gt;=L$55, D131*O$55,C131+D131&gt;=L$54, D131*O$54,C131+D131&gt;=L$53, D131*O$53,C131+D131&lt;L$53,D131*O$52),Setup!I$4=Lookups!D$111,-_xlfn.IFS(C131+D131&gt;=L$62, D131*O$62,C131+D131&gt;=L$61, D131*O$61,C131+D131&gt;=L$60, D131*O$60,C131+D131&lt;L$60,D131*O$59), Setup!I$4=Lookups!D$112,-_xlfn.IFS(C131+D131&gt;=L$69, D131*O$69,C131+D131&gt;=L$68, D131*O$68,C131+D131&gt;=L$67, D131*O$67,C131+D131&lt;L$67,D131*O$66))</f>
        <v>0</v>
      </c>
      <c r="F131" s="18">
        <f t="shared" si="11"/>
        <v>0</v>
      </c>
      <c r="G131" s="1">
        <f t="shared" si="12"/>
        <v>0</v>
      </c>
    </row>
    <row r="132" spans="1:7" x14ac:dyDescent="0.3">
      <c r="A132" s="1">
        <f t="shared" si="9"/>
        <v>0</v>
      </c>
      <c r="C132" s="1">
        <f t="shared" si="10"/>
        <v>0</v>
      </c>
      <c r="D132" s="1">
        <f>IF(Projections!BS32&gt;0,Projections!BS32,0)</f>
        <v>0</v>
      </c>
      <c r="E132" s="1" cm="1">
        <f t="array" ref="E132">_xlfn.IFS(Setup!I$4=Lookups!D$109,-_xlfn.IFS(C132+D132&gt;=L$48, D132*O$48,C132+D132&gt;=L$47, D132*O$47,C132+D132&gt;=L$46,D132*O$46,C132+D132&lt;L$46,D132*O$45),Setup!I$4=Lookups!D$110,-_xlfn.IFS(C132+D132&gt;=L$55, D132*O$55,C132+D132&gt;=L$54, D132*O$54,C132+D132&gt;=L$53, D132*O$53,C132+D132&lt;L$53,D132*O$52),Setup!I$4=Lookups!D$111,-_xlfn.IFS(C132+D132&gt;=L$62, D132*O$62,C132+D132&gt;=L$61, D132*O$61,C132+D132&gt;=L$60, D132*O$60,C132+D132&lt;L$60,D132*O$59), Setup!I$4=Lookups!D$112,-_xlfn.IFS(C132+D132&gt;=L$69, D132*O$69,C132+D132&gt;=L$68, D132*O$68,C132+D132&gt;=L$67, D132*O$67,C132+D132&lt;L$67,D132*O$66))</f>
        <v>0</v>
      </c>
      <c r="F132" s="18">
        <f t="shared" si="11"/>
        <v>0</v>
      </c>
      <c r="G132" s="1">
        <f t="shared" si="12"/>
        <v>0</v>
      </c>
    </row>
    <row r="133" spans="1:7" x14ac:dyDescent="0.3">
      <c r="A133" s="1">
        <f t="shared" si="9"/>
        <v>0</v>
      </c>
      <c r="C133" s="1">
        <f t="shared" si="10"/>
        <v>0</v>
      </c>
      <c r="D133" s="1">
        <f>IF(Projections!BS33&gt;0,Projections!BS33,0)</f>
        <v>0</v>
      </c>
      <c r="E133" s="1" cm="1">
        <f t="array" ref="E133">_xlfn.IFS(Setup!I$4=Lookups!D$109,-_xlfn.IFS(C133+D133&gt;=L$48, D133*O$48,C133+D133&gt;=L$47, D133*O$47,C133+D133&gt;=L$46,D133*O$46,C133+D133&lt;L$46,D133*O$45),Setup!I$4=Lookups!D$110,-_xlfn.IFS(C133+D133&gt;=L$55, D133*O$55,C133+D133&gt;=L$54, D133*O$54,C133+D133&gt;=L$53, D133*O$53,C133+D133&lt;L$53,D133*O$52),Setup!I$4=Lookups!D$111,-_xlfn.IFS(C133+D133&gt;=L$62, D133*O$62,C133+D133&gt;=L$61, D133*O$61,C133+D133&gt;=L$60, D133*O$60,C133+D133&lt;L$60,D133*O$59), Setup!I$4=Lookups!D$112,-_xlfn.IFS(C133+D133&gt;=L$69, D133*O$69,C133+D133&gt;=L$68, D133*O$68,C133+D133&gt;=L$67, D133*O$67,C133+D133&lt;L$67,D133*O$66))</f>
        <v>0</v>
      </c>
      <c r="F133" s="18">
        <f t="shared" si="11"/>
        <v>0</v>
      </c>
      <c r="G133" s="1">
        <f t="shared" si="12"/>
        <v>0</v>
      </c>
    </row>
    <row r="134" spans="1:7" x14ac:dyDescent="0.3">
      <c r="A134" s="1">
        <f t="shared" si="9"/>
        <v>0</v>
      </c>
      <c r="C134" s="1">
        <f t="shared" si="10"/>
        <v>0</v>
      </c>
      <c r="D134" s="1">
        <f>IF(Projections!BS34&gt;0,Projections!BS34,0)</f>
        <v>0</v>
      </c>
      <c r="E134" s="1" cm="1">
        <f t="array" ref="E134">_xlfn.IFS(Setup!I$4=Lookups!D$109,-_xlfn.IFS(C134+D134&gt;=L$48, D134*O$48,C134+D134&gt;=L$47, D134*O$47,C134+D134&gt;=L$46,D134*O$46,C134+D134&lt;L$46,D134*O$45),Setup!I$4=Lookups!D$110,-_xlfn.IFS(C134+D134&gt;=L$55, D134*O$55,C134+D134&gt;=L$54, D134*O$54,C134+D134&gt;=L$53, D134*O$53,C134+D134&lt;L$53,D134*O$52),Setup!I$4=Lookups!D$111,-_xlfn.IFS(C134+D134&gt;=L$62, D134*O$62,C134+D134&gt;=L$61, D134*O$61,C134+D134&gt;=L$60, D134*O$60,C134+D134&lt;L$60,D134*O$59), Setup!I$4=Lookups!D$112,-_xlfn.IFS(C134+D134&gt;=L$69, D134*O$69,C134+D134&gt;=L$68, D134*O$68,C134+D134&gt;=L$67, D134*O$67,C134+D134&lt;L$67,D134*O$66))</f>
        <v>0</v>
      </c>
      <c r="F134" s="18">
        <f t="shared" si="11"/>
        <v>0</v>
      </c>
      <c r="G134" s="1">
        <f t="shared" si="12"/>
        <v>0</v>
      </c>
    </row>
    <row r="135" spans="1:7" x14ac:dyDescent="0.3">
      <c r="A135" s="1">
        <f t="shared" si="9"/>
        <v>0</v>
      </c>
      <c r="C135" s="1">
        <f t="shared" si="10"/>
        <v>0</v>
      </c>
      <c r="D135" s="1">
        <f>IF(Projections!BS35&gt;0,Projections!BS35,0)</f>
        <v>0</v>
      </c>
      <c r="E135" s="1" cm="1">
        <f t="array" ref="E135">_xlfn.IFS(Setup!I$4=Lookups!D$109,-_xlfn.IFS(C135+D135&gt;=L$48, D135*O$48,C135+D135&gt;=L$47, D135*O$47,C135+D135&gt;=L$46,D135*O$46,C135+D135&lt;L$46,D135*O$45),Setup!I$4=Lookups!D$110,-_xlfn.IFS(C135+D135&gt;=L$55, D135*O$55,C135+D135&gt;=L$54, D135*O$54,C135+D135&gt;=L$53, D135*O$53,C135+D135&lt;L$53,D135*O$52),Setup!I$4=Lookups!D$111,-_xlfn.IFS(C135+D135&gt;=L$62, D135*O$62,C135+D135&gt;=L$61, D135*O$61,C135+D135&gt;=L$60, D135*O$60,C135+D135&lt;L$60,D135*O$59), Setup!I$4=Lookups!D$112,-_xlfn.IFS(C135+D135&gt;=L$69, D135*O$69,C135+D135&gt;=L$68, D135*O$68,C135+D135&gt;=L$67, D135*O$67,C135+D135&lt;L$67,D135*O$66))</f>
        <v>0</v>
      </c>
      <c r="F135" s="18">
        <f t="shared" si="11"/>
        <v>0</v>
      </c>
      <c r="G135" s="1">
        <f t="shared" si="12"/>
        <v>0</v>
      </c>
    </row>
    <row r="136" spans="1:7" x14ac:dyDescent="0.3">
      <c r="A136" s="1">
        <f t="shared" si="9"/>
        <v>0</v>
      </c>
      <c r="C136" s="1">
        <f t="shared" si="10"/>
        <v>0</v>
      </c>
      <c r="D136" s="1">
        <f>IF(Projections!BS36&gt;0,Projections!BS36,0)</f>
        <v>0</v>
      </c>
      <c r="E136" s="1" cm="1">
        <f t="array" ref="E136">_xlfn.IFS(Setup!I$4=Lookups!D$109,-_xlfn.IFS(C136+D136&gt;=L$48, D136*O$48,C136+D136&gt;=L$47, D136*O$47,C136+D136&gt;=L$46,D136*O$46,C136+D136&lt;L$46,D136*O$45),Setup!I$4=Lookups!D$110,-_xlfn.IFS(C136+D136&gt;=L$55, D136*O$55,C136+D136&gt;=L$54, D136*O$54,C136+D136&gt;=L$53, D136*O$53,C136+D136&lt;L$53,D136*O$52),Setup!I$4=Lookups!D$111,-_xlfn.IFS(C136+D136&gt;=L$62, D136*O$62,C136+D136&gt;=L$61, D136*O$61,C136+D136&gt;=L$60, D136*O$60,C136+D136&lt;L$60,D136*O$59), Setup!I$4=Lookups!D$112,-_xlfn.IFS(C136+D136&gt;=L$69, D136*O$69,C136+D136&gt;=L$68, D136*O$68,C136+D136&gt;=L$67, D136*O$67,C136+D136&lt;L$67,D136*O$66))</f>
        <v>0</v>
      </c>
      <c r="F136" s="18">
        <f t="shared" si="11"/>
        <v>0</v>
      </c>
      <c r="G136" s="1">
        <f t="shared" si="12"/>
        <v>0</v>
      </c>
    </row>
    <row r="137" spans="1:7" x14ac:dyDescent="0.3">
      <c r="A137" s="1">
        <f t="shared" si="9"/>
        <v>0</v>
      </c>
      <c r="C137" s="1">
        <f t="shared" si="10"/>
        <v>0</v>
      </c>
      <c r="D137" s="1">
        <f>IF(Projections!BS37&gt;0,Projections!BS37,0)</f>
        <v>0</v>
      </c>
      <c r="E137" s="1" cm="1">
        <f t="array" ref="E137">_xlfn.IFS(Setup!I$4=Lookups!D$109,-_xlfn.IFS(C137+D137&gt;=L$48, D137*O$48,C137+D137&gt;=L$47, D137*O$47,C137+D137&gt;=L$46,D137*O$46,C137+D137&lt;L$46,D137*O$45),Setup!I$4=Lookups!D$110,-_xlfn.IFS(C137+D137&gt;=L$55, D137*O$55,C137+D137&gt;=L$54, D137*O$54,C137+D137&gt;=L$53, D137*O$53,C137+D137&lt;L$53,D137*O$52),Setup!I$4=Lookups!D$111,-_xlfn.IFS(C137+D137&gt;=L$62, D137*O$62,C137+D137&gt;=L$61, D137*O$61,C137+D137&gt;=L$60, D137*O$60,C137+D137&lt;L$60,D137*O$59), Setup!I$4=Lookups!D$112,-_xlfn.IFS(C137+D137&gt;=L$69, D137*O$69,C137+D137&gt;=L$68, D137*O$68,C137+D137&gt;=L$67, D137*O$67,C137+D137&lt;L$67,D137*O$66))</f>
        <v>0</v>
      </c>
      <c r="F137" s="18">
        <f t="shared" si="11"/>
        <v>0</v>
      </c>
      <c r="G137" s="1">
        <f t="shared" si="12"/>
        <v>0</v>
      </c>
    </row>
    <row r="138" spans="1:7" x14ac:dyDescent="0.3">
      <c r="A138" s="1">
        <f t="shared" si="9"/>
        <v>0</v>
      </c>
      <c r="C138" s="1">
        <f t="shared" si="10"/>
        <v>0</v>
      </c>
      <c r="D138" s="1">
        <f>IF(Projections!BS38&gt;0,Projections!BS38,0)</f>
        <v>0</v>
      </c>
      <c r="E138" s="1" cm="1">
        <f t="array" ref="E138">_xlfn.IFS(Setup!I$4=Lookups!D$109,-_xlfn.IFS(C138+D138&gt;=L$48, D138*O$48,C138+D138&gt;=L$47, D138*O$47,C138+D138&gt;=L$46,D138*O$46,C138+D138&lt;L$46,D138*O$45),Setup!I$4=Lookups!D$110,-_xlfn.IFS(C138+D138&gt;=L$55, D138*O$55,C138+D138&gt;=L$54, D138*O$54,C138+D138&gt;=L$53, D138*O$53,C138+D138&lt;L$53,D138*O$52),Setup!I$4=Lookups!D$111,-_xlfn.IFS(C138+D138&gt;=L$62, D138*O$62,C138+D138&gt;=L$61, D138*O$61,C138+D138&gt;=L$60, D138*O$60,C138+D138&lt;L$60,D138*O$59), Setup!I$4=Lookups!D$112,-_xlfn.IFS(C138+D138&gt;=L$69, D138*O$69,C138+D138&gt;=L$68, D138*O$68,C138+D138&gt;=L$67, D138*O$67,C138+D138&lt;L$67,D138*O$66))</f>
        <v>0</v>
      </c>
      <c r="F138" s="18">
        <f t="shared" si="11"/>
        <v>0</v>
      </c>
      <c r="G138" s="1">
        <f t="shared" si="12"/>
        <v>0</v>
      </c>
    </row>
    <row r="139" spans="1:7" x14ac:dyDescent="0.3">
      <c r="A139" s="1">
        <f t="shared" si="9"/>
        <v>0</v>
      </c>
      <c r="C139" s="1">
        <f t="shared" ref="C139:C170" si="13">D39</f>
        <v>0</v>
      </c>
      <c r="D139" s="1">
        <f>IF(Projections!BS39&gt;0,Projections!BS39,0)</f>
        <v>0</v>
      </c>
      <c r="E139" s="1" cm="1">
        <f t="array" ref="E139">_xlfn.IFS(Setup!I$4=Lookups!D$109,-_xlfn.IFS(C139+D139&gt;=L$48, D139*O$48,C139+D139&gt;=L$47, D139*O$47,C139+D139&gt;=L$46,D139*O$46,C139+D139&lt;L$46,D139*O$45),Setup!I$4=Lookups!D$110,-_xlfn.IFS(C139+D139&gt;=L$55, D139*O$55,C139+D139&gt;=L$54, D139*O$54,C139+D139&gt;=L$53, D139*O$53,C139+D139&lt;L$53,D139*O$52),Setup!I$4=Lookups!D$111,-_xlfn.IFS(C139+D139&gt;=L$62, D139*O$62,C139+D139&gt;=L$61, D139*O$61,C139+D139&gt;=L$60, D139*O$60,C139+D139&lt;L$60,D139*O$59), Setup!I$4=Lookups!D$112,-_xlfn.IFS(C139+D139&gt;=L$69, D139*O$69,C139+D139&gt;=L$68, D139*O$68,C139+D139&gt;=L$67, D139*O$67,C139+D139&lt;L$67,D139*O$66))</f>
        <v>0</v>
      </c>
      <c r="F139" s="18">
        <f t="shared" ref="F139:F170" si="14">IF(D139=0,0,-E139/D139)</f>
        <v>0</v>
      </c>
      <c r="G139" s="1">
        <f t="shared" ref="G139:G170" si="15">IF(D139=0,0,(E139*F139^2)+(E139*F139^3)+(E139*F139^4)+(E139*F139^5)+(E139*F139^6)+(E139*F139^7)+(E139*F139^8)+(E139*F139^9)+(E139*F139^10))</f>
        <v>0</v>
      </c>
    </row>
    <row r="140" spans="1:7" x14ac:dyDescent="0.3">
      <c r="A140" s="1">
        <f t="shared" si="9"/>
        <v>0</v>
      </c>
      <c r="C140" s="1">
        <f t="shared" si="13"/>
        <v>0</v>
      </c>
      <c r="D140" s="1">
        <f>IF(Projections!BS40&gt;0,Projections!BS40,0)</f>
        <v>0</v>
      </c>
      <c r="E140" s="1" cm="1">
        <f t="array" ref="E140">_xlfn.IFS(Setup!I$4=Lookups!D$109,-_xlfn.IFS(C140+D140&gt;=L$48, D140*O$48,C140+D140&gt;=L$47, D140*O$47,C140+D140&gt;=L$46,D140*O$46,C140+D140&lt;L$46,D140*O$45),Setup!I$4=Lookups!D$110,-_xlfn.IFS(C140+D140&gt;=L$55, D140*O$55,C140+D140&gt;=L$54, D140*O$54,C140+D140&gt;=L$53, D140*O$53,C140+D140&lt;L$53,D140*O$52),Setup!I$4=Lookups!D$111,-_xlfn.IFS(C140+D140&gt;=L$62, D140*O$62,C140+D140&gt;=L$61, D140*O$61,C140+D140&gt;=L$60, D140*O$60,C140+D140&lt;L$60,D140*O$59), Setup!I$4=Lookups!D$112,-_xlfn.IFS(C140+D140&gt;=L$69, D140*O$69,C140+D140&gt;=L$68, D140*O$68,C140+D140&gt;=L$67, D140*O$67,C140+D140&lt;L$67,D140*O$66))</f>
        <v>0</v>
      </c>
      <c r="F140" s="18">
        <f t="shared" si="14"/>
        <v>0</v>
      </c>
      <c r="G140" s="1">
        <f t="shared" si="15"/>
        <v>0</v>
      </c>
    </row>
    <row r="141" spans="1:7" x14ac:dyDescent="0.3">
      <c r="A141" s="1">
        <f t="shared" si="9"/>
        <v>0</v>
      </c>
      <c r="C141" s="1">
        <f t="shared" si="13"/>
        <v>0</v>
      </c>
      <c r="D141" s="1">
        <f>IF(Projections!BS41&gt;0,Projections!BS41,0)</f>
        <v>0</v>
      </c>
      <c r="E141" s="1" cm="1">
        <f t="array" ref="E141">_xlfn.IFS(Setup!I$4=Lookups!D$109,-_xlfn.IFS(C141+D141&gt;=L$48, D141*O$48,C141+D141&gt;=L$47, D141*O$47,C141+D141&gt;=L$46,D141*O$46,C141+D141&lt;L$46,D141*O$45),Setup!I$4=Lookups!D$110,-_xlfn.IFS(C141+D141&gt;=L$55, D141*O$55,C141+D141&gt;=L$54, D141*O$54,C141+D141&gt;=L$53, D141*O$53,C141+D141&lt;L$53,D141*O$52),Setup!I$4=Lookups!D$111,-_xlfn.IFS(C141+D141&gt;=L$62, D141*O$62,C141+D141&gt;=L$61, D141*O$61,C141+D141&gt;=L$60, D141*O$60,C141+D141&lt;L$60,D141*O$59), Setup!I$4=Lookups!D$112,-_xlfn.IFS(C141+D141&gt;=L$69, D141*O$69,C141+D141&gt;=L$68, D141*O$68,C141+D141&gt;=L$67, D141*O$67,C141+D141&lt;L$67,D141*O$66))</f>
        <v>0</v>
      </c>
      <c r="F141" s="18">
        <f t="shared" si="14"/>
        <v>0</v>
      </c>
      <c r="G141" s="1">
        <f t="shared" si="15"/>
        <v>0</v>
      </c>
    </row>
    <row r="142" spans="1:7" x14ac:dyDescent="0.3">
      <c r="A142" s="1">
        <f t="shared" si="9"/>
        <v>0</v>
      </c>
      <c r="C142" s="1">
        <f t="shared" si="13"/>
        <v>0</v>
      </c>
      <c r="D142" s="1">
        <f>IF(Projections!BS42&gt;0,Projections!BS42,0)</f>
        <v>0</v>
      </c>
      <c r="E142" s="1" cm="1">
        <f t="array" ref="E142">_xlfn.IFS(Setup!I$4=Lookups!D$109,-_xlfn.IFS(C142+D142&gt;=L$48, D142*O$48,C142+D142&gt;=L$47, D142*O$47,C142+D142&gt;=L$46,D142*O$46,C142+D142&lt;L$46,D142*O$45),Setup!I$4=Lookups!D$110,-_xlfn.IFS(C142+D142&gt;=L$55, D142*O$55,C142+D142&gt;=L$54, D142*O$54,C142+D142&gt;=L$53, D142*O$53,C142+D142&lt;L$53,D142*O$52),Setup!I$4=Lookups!D$111,-_xlfn.IFS(C142+D142&gt;=L$62, D142*O$62,C142+D142&gt;=L$61, D142*O$61,C142+D142&gt;=L$60, D142*O$60,C142+D142&lt;L$60,D142*O$59), Setup!I$4=Lookups!D$112,-_xlfn.IFS(C142+D142&gt;=L$69, D142*O$69,C142+D142&gt;=L$68, D142*O$68,C142+D142&gt;=L$67, D142*O$67,C142+D142&lt;L$67,D142*O$66))</f>
        <v>0</v>
      </c>
      <c r="F142" s="18">
        <f t="shared" si="14"/>
        <v>0</v>
      </c>
      <c r="G142" s="1">
        <f t="shared" si="15"/>
        <v>0</v>
      </c>
    </row>
    <row r="143" spans="1:7" x14ac:dyDescent="0.3">
      <c r="A143" s="1">
        <f t="shared" si="9"/>
        <v>0</v>
      </c>
      <c r="C143" s="1">
        <f t="shared" si="13"/>
        <v>0</v>
      </c>
      <c r="D143" s="1">
        <f>IF(Projections!BS43&gt;0,Projections!BS43,0)</f>
        <v>0</v>
      </c>
      <c r="E143" s="1" cm="1">
        <f t="array" ref="E143">_xlfn.IFS(Setup!I$4=Lookups!D$109,-_xlfn.IFS(C143+D143&gt;=L$48, D143*O$48,C143+D143&gt;=L$47, D143*O$47,C143+D143&gt;=L$46,D143*O$46,C143+D143&lt;L$46,D143*O$45),Setup!I$4=Lookups!D$110,-_xlfn.IFS(C143+D143&gt;=L$55, D143*O$55,C143+D143&gt;=L$54, D143*O$54,C143+D143&gt;=L$53, D143*O$53,C143+D143&lt;L$53,D143*O$52),Setup!I$4=Lookups!D$111,-_xlfn.IFS(C143+D143&gt;=L$62, D143*O$62,C143+D143&gt;=L$61, D143*O$61,C143+D143&gt;=L$60, D143*O$60,C143+D143&lt;L$60,D143*O$59), Setup!I$4=Lookups!D$112,-_xlfn.IFS(C143+D143&gt;=L$69, D143*O$69,C143+D143&gt;=L$68, D143*O$68,C143+D143&gt;=L$67, D143*O$67,C143+D143&lt;L$67,D143*O$66))</f>
        <v>0</v>
      </c>
      <c r="F143" s="18">
        <f t="shared" si="14"/>
        <v>0</v>
      </c>
      <c r="G143" s="1">
        <f t="shared" si="15"/>
        <v>0</v>
      </c>
    </row>
    <row r="144" spans="1:7" x14ac:dyDescent="0.3">
      <c r="A144" s="1">
        <f t="shared" si="9"/>
        <v>0</v>
      </c>
      <c r="C144" s="1">
        <f t="shared" si="13"/>
        <v>0</v>
      </c>
      <c r="D144" s="1">
        <f>IF(Projections!BS44&gt;0,Projections!BS44,0)</f>
        <v>0</v>
      </c>
      <c r="E144" s="1" cm="1">
        <f t="array" ref="E144">_xlfn.IFS(Setup!I$4=Lookups!D$109,-_xlfn.IFS(C144+D144&gt;=L$48, D144*O$48,C144+D144&gt;=L$47, D144*O$47,C144+D144&gt;=L$46,D144*O$46,C144+D144&lt;L$46,D144*O$45),Setup!I$4=Lookups!D$110,-_xlfn.IFS(C144+D144&gt;=L$55, D144*O$55,C144+D144&gt;=L$54, D144*O$54,C144+D144&gt;=L$53, D144*O$53,C144+D144&lt;L$53,D144*O$52),Setup!I$4=Lookups!D$111,-_xlfn.IFS(C144+D144&gt;=L$62, D144*O$62,C144+D144&gt;=L$61, D144*O$61,C144+D144&gt;=L$60, D144*O$60,C144+D144&lt;L$60,D144*O$59), Setup!I$4=Lookups!D$112,-_xlfn.IFS(C144+D144&gt;=L$69, D144*O$69,C144+D144&gt;=L$68, D144*O$68,C144+D144&gt;=L$67, D144*O$67,C144+D144&lt;L$67,D144*O$66))</f>
        <v>0</v>
      </c>
      <c r="F144" s="18">
        <f t="shared" si="14"/>
        <v>0</v>
      </c>
      <c r="G144" s="1">
        <f t="shared" si="15"/>
        <v>0</v>
      </c>
    </row>
    <row r="145" spans="1:7" x14ac:dyDescent="0.3">
      <c r="A145" s="1">
        <f t="shared" si="9"/>
        <v>0</v>
      </c>
      <c r="C145" s="1">
        <f t="shared" si="13"/>
        <v>0</v>
      </c>
      <c r="D145" s="1">
        <f>IF(Projections!BS45&gt;0,Projections!BS45,0)</f>
        <v>0</v>
      </c>
      <c r="E145" s="1" cm="1">
        <f t="array" ref="E145">_xlfn.IFS(Setup!I$4=Lookups!D$109,-_xlfn.IFS(C145+D145&gt;=L$48, D145*O$48,C145+D145&gt;=L$47, D145*O$47,C145+D145&gt;=L$46,D145*O$46,C145+D145&lt;L$46,D145*O$45),Setup!I$4=Lookups!D$110,-_xlfn.IFS(C145+D145&gt;=L$55, D145*O$55,C145+D145&gt;=L$54, D145*O$54,C145+D145&gt;=L$53, D145*O$53,C145+D145&lt;L$53,D145*O$52),Setup!I$4=Lookups!D$111,-_xlfn.IFS(C145+D145&gt;=L$62, D145*O$62,C145+D145&gt;=L$61, D145*O$61,C145+D145&gt;=L$60, D145*O$60,C145+D145&lt;L$60,D145*O$59), Setup!I$4=Lookups!D$112,-_xlfn.IFS(C145+D145&gt;=L$69, D145*O$69,C145+D145&gt;=L$68, D145*O$68,C145+D145&gt;=L$67, D145*O$67,C145+D145&lt;L$67,D145*O$66))</f>
        <v>0</v>
      </c>
      <c r="F145" s="18">
        <f t="shared" si="14"/>
        <v>0</v>
      </c>
      <c r="G145" s="1">
        <f t="shared" si="15"/>
        <v>0</v>
      </c>
    </row>
    <row r="146" spans="1:7" x14ac:dyDescent="0.3">
      <c r="A146" s="1">
        <f t="shared" si="9"/>
        <v>0</v>
      </c>
      <c r="C146" s="1">
        <f t="shared" si="13"/>
        <v>0</v>
      </c>
      <c r="D146" s="1">
        <f>IF(Projections!BS46&gt;0,Projections!BS46,0)</f>
        <v>0</v>
      </c>
      <c r="E146" s="1" cm="1">
        <f t="array" ref="E146">_xlfn.IFS(Setup!I$4=Lookups!D$109,-_xlfn.IFS(C146+D146&gt;=L$48, D146*O$48,C146+D146&gt;=L$47, D146*O$47,C146+D146&gt;=L$46,D146*O$46,C146+D146&lt;L$46,D146*O$45),Setup!I$4=Lookups!D$110,-_xlfn.IFS(C146+D146&gt;=L$55, D146*O$55,C146+D146&gt;=L$54, D146*O$54,C146+D146&gt;=L$53, D146*O$53,C146+D146&lt;L$53,D146*O$52),Setup!I$4=Lookups!D$111,-_xlfn.IFS(C146+D146&gt;=L$62, D146*O$62,C146+D146&gt;=L$61, D146*O$61,C146+D146&gt;=L$60, D146*O$60,C146+D146&lt;L$60,D146*O$59), Setup!I$4=Lookups!D$112,-_xlfn.IFS(C146+D146&gt;=L$69, D146*O$69,C146+D146&gt;=L$68, D146*O$68,C146+D146&gt;=L$67, D146*O$67,C146+D146&lt;L$67,D146*O$66))</f>
        <v>0</v>
      </c>
      <c r="F146" s="18">
        <f t="shared" si="14"/>
        <v>0</v>
      </c>
      <c r="G146" s="1">
        <f t="shared" si="15"/>
        <v>0</v>
      </c>
    </row>
    <row r="147" spans="1:7" x14ac:dyDescent="0.3">
      <c r="A147" s="1">
        <f t="shared" si="9"/>
        <v>0</v>
      </c>
      <c r="C147" s="1">
        <f t="shared" si="13"/>
        <v>0</v>
      </c>
      <c r="D147" s="1">
        <f>IF(Projections!BS47&gt;0,Projections!BS47,0)</f>
        <v>0</v>
      </c>
      <c r="E147" s="1" cm="1">
        <f t="array" ref="E147">_xlfn.IFS(Setup!I$4=Lookups!D$109,-_xlfn.IFS(C147+D147&gt;=L$48, D147*O$48,C147+D147&gt;=L$47, D147*O$47,C147+D147&gt;=L$46,D147*O$46,C147+D147&lt;L$46,D147*O$45),Setup!I$4=Lookups!D$110,-_xlfn.IFS(C147+D147&gt;=L$55, D147*O$55,C147+D147&gt;=L$54, D147*O$54,C147+D147&gt;=L$53, D147*O$53,C147+D147&lt;L$53,D147*O$52),Setup!I$4=Lookups!D$111,-_xlfn.IFS(C147+D147&gt;=L$62, D147*O$62,C147+D147&gt;=L$61, D147*O$61,C147+D147&gt;=L$60, D147*O$60,C147+D147&lt;L$60,D147*O$59), Setup!I$4=Lookups!D$112,-_xlfn.IFS(C147+D147&gt;=L$69, D147*O$69,C147+D147&gt;=L$68, D147*O$68,C147+D147&gt;=L$67, D147*O$67,C147+D147&lt;L$67,D147*O$66))</f>
        <v>0</v>
      </c>
      <c r="F147" s="18">
        <f t="shared" si="14"/>
        <v>0</v>
      </c>
      <c r="G147" s="1">
        <f t="shared" si="15"/>
        <v>0</v>
      </c>
    </row>
    <row r="148" spans="1:7" x14ac:dyDescent="0.3">
      <c r="A148" s="1">
        <f t="shared" si="9"/>
        <v>0</v>
      </c>
      <c r="C148" s="1">
        <f t="shared" si="13"/>
        <v>0</v>
      </c>
      <c r="D148" s="1">
        <f>IF(Projections!BS48&gt;0,Projections!BS48,0)</f>
        <v>0</v>
      </c>
      <c r="E148" s="1" cm="1">
        <f t="array" ref="E148">_xlfn.IFS(Setup!I$4=Lookups!D$109,-_xlfn.IFS(C148+D148&gt;=L$48, D148*O$48,C148+D148&gt;=L$47, D148*O$47,C148+D148&gt;=L$46,D148*O$46,C148+D148&lt;L$46,D148*O$45),Setup!I$4=Lookups!D$110,-_xlfn.IFS(C148+D148&gt;=L$55, D148*O$55,C148+D148&gt;=L$54, D148*O$54,C148+D148&gt;=L$53, D148*O$53,C148+D148&lt;L$53,D148*O$52),Setup!I$4=Lookups!D$111,-_xlfn.IFS(C148+D148&gt;=L$62, D148*O$62,C148+D148&gt;=L$61, D148*O$61,C148+D148&gt;=L$60, D148*O$60,C148+D148&lt;L$60,D148*O$59), Setup!I$4=Lookups!D$112,-_xlfn.IFS(C148+D148&gt;=L$69, D148*O$69,C148+D148&gt;=L$68, D148*O$68,C148+D148&gt;=L$67, D148*O$67,C148+D148&lt;L$67,D148*O$66))</f>
        <v>0</v>
      </c>
      <c r="F148" s="18">
        <f t="shared" si="14"/>
        <v>0</v>
      </c>
      <c r="G148" s="1">
        <f t="shared" si="15"/>
        <v>0</v>
      </c>
    </row>
    <row r="149" spans="1:7" x14ac:dyDescent="0.3">
      <c r="A149" s="1">
        <f t="shared" si="9"/>
        <v>0</v>
      </c>
      <c r="C149" s="1">
        <f t="shared" si="13"/>
        <v>0</v>
      </c>
      <c r="D149" s="1">
        <f>IF(Projections!BS49&gt;0,Projections!BS49,0)</f>
        <v>0</v>
      </c>
      <c r="E149" s="1" cm="1">
        <f t="array" ref="E149">_xlfn.IFS(Setup!I$4=Lookups!D$109,-_xlfn.IFS(C149+D149&gt;=L$48, D149*O$48,C149+D149&gt;=L$47, D149*O$47,C149+D149&gt;=L$46,D149*O$46,C149+D149&lt;L$46,D149*O$45),Setup!I$4=Lookups!D$110,-_xlfn.IFS(C149+D149&gt;=L$55, D149*O$55,C149+D149&gt;=L$54, D149*O$54,C149+D149&gt;=L$53, D149*O$53,C149+D149&lt;L$53,D149*O$52),Setup!I$4=Lookups!D$111,-_xlfn.IFS(C149+D149&gt;=L$62, D149*O$62,C149+D149&gt;=L$61, D149*O$61,C149+D149&gt;=L$60, D149*O$60,C149+D149&lt;L$60,D149*O$59), Setup!I$4=Lookups!D$112,-_xlfn.IFS(C149+D149&gt;=L$69, D149*O$69,C149+D149&gt;=L$68, D149*O$68,C149+D149&gt;=L$67, D149*O$67,C149+D149&lt;L$67,D149*O$66))</f>
        <v>0</v>
      </c>
      <c r="F149" s="18">
        <f t="shared" si="14"/>
        <v>0</v>
      </c>
      <c r="G149" s="1">
        <f t="shared" si="15"/>
        <v>0</v>
      </c>
    </row>
    <row r="150" spans="1:7" x14ac:dyDescent="0.3">
      <c r="A150" s="1">
        <f t="shared" si="9"/>
        <v>0</v>
      </c>
      <c r="C150" s="1">
        <f t="shared" si="13"/>
        <v>0</v>
      </c>
      <c r="D150" s="1">
        <f>IF(Projections!BS50&gt;0,Projections!BS50,0)</f>
        <v>0</v>
      </c>
      <c r="E150" s="1" cm="1">
        <f t="array" ref="E150">_xlfn.IFS(Setup!I$4=Lookups!D$109,-_xlfn.IFS(C150+D150&gt;=L$48, D150*O$48,C150+D150&gt;=L$47, D150*O$47,C150+D150&gt;=L$46,D150*O$46,C150+D150&lt;L$46,D150*O$45),Setup!I$4=Lookups!D$110,-_xlfn.IFS(C150+D150&gt;=L$55, D150*O$55,C150+D150&gt;=L$54, D150*O$54,C150+D150&gt;=L$53, D150*O$53,C150+D150&lt;L$53,D150*O$52),Setup!I$4=Lookups!D$111,-_xlfn.IFS(C150+D150&gt;=L$62, D150*O$62,C150+D150&gt;=L$61, D150*O$61,C150+D150&gt;=L$60, D150*O$60,C150+D150&lt;L$60,D150*O$59), Setup!I$4=Lookups!D$112,-_xlfn.IFS(C150+D150&gt;=L$69, D150*O$69,C150+D150&gt;=L$68, D150*O$68,C150+D150&gt;=L$67, D150*O$67,C150+D150&lt;L$67,D150*O$66))</f>
        <v>0</v>
      </c>
      <c r="F150" s="18">
        <f t="shared" si="14"/>
        <v>0</v>
      </c>
      <c r="G150" s="1">
        <f t="shared" si="15"/>
        <v>0</v>
      </c>
    </row>
    <row r="151" spans="1:7" x14ac:dyDescent="0.3">
      <c r="A151" s="1">
        <f t="shared" si="9"/>
        <v>0</v>
      </c>
      <c r="C151" s="1">
        <f t="shared" si="13"/>
        <v>0</v>
      </c>
      <c r="D151" s="1">
        <f>IF(Projections!BS51&gt;0,Projections!BS51,0)</f>
        <v>0</v>
      </c>
      <c r="E151" s="1" cm="1">
        <f t="array" ref="E151">_xlfn.IFS(Setup!I$4=Lookups!D$109,-_xlfn.IFS(C151+D151&gt;=L$48, D151*O$48,C151+D151&gt;=L$47, D151*O$47,C151+D151&gt;=L$46,D151*O$46,C151+D151&lt;L$46,D151*O$45),Setup!I$4=Lookups!D$110,-_xlfn.IFS(C151+D151&gt;=L$55, D151*O$55,C151+D151&gt;=L$54, D151*O$54,C151+D151&gt;=L$53, D151*O$53,C151+D151&lt;L$53,D151*O$52),Setup!I$4=Lookups!D$111,-_xlfn.IFS(C151+D151&gt;=L$62, D151*O$62,C151+D151&gt;=L$61, D151*O$61,C151+D151&gt;=L$60, D151*O$60,C151+D151&lt;L$60,D151*O$59), Setup!I$4=Lookups!D$112,-_xlfn.IFS(C151+D151&gt;=L$69, D151*O$69,C151+D151&gt;=L$68, D151*O$68,C151+D151&gt;=L$67, D151*O$67,C151+D151&lt;L$67,D151*O$66))</f>
        <v>0</v>
      </c>
      <c r="F151" s="18">
        <f t="shared" si="14"/>
        <v>0</v>
      </c>
      <c r="G151" s="1">
        <f t="shared" si="15"/>
        <v>0</v>
      </c>
    </row>
    <row r="152" spans="1:7" x14ac:dyDescent="0.3">
      <c r="A152" s="1">
        <f t="shared" si="9"/>
        <v>0</v>
      </c>
      <c r="C152" s="1">
        <f t="shared" si="13"/>
        <v>0</v>
      </c>
      <c r="D152" s="1">
        <f>IF(Projections!BS52&gt;0,Projections!BS52,0)</f>
        <v>0</v>
      </c>
      <c r="E152" s="1" cm="1">
        <f t="array" ref="E152">_xlfn.IFS(Setup!I$4=Lookups!D$109,-_xlfn.IFS(C152+D152&gt;=L$48, D152*O$48,C152+D152&gt;=L$47, D152*O$47,C152+D152&gt;=L$46,D152*O$46,C152+D152&lt;L$46,D152*O$45),Setup!I$4=Lookups!D$110,-_xlfn.IFS(C152+D152&gt;=L$55, D152*O$55,C152+D152&gt;=L$54, D152*O$54,C152+D152&gt;=L$53, D152*O$53,C152+D152&lt;L$53,D152*O$52),Setup!I$4=Lookups!D$111,-_xlfn.IFS(C152+D152&gt;=L$62, D152*O$62,C152+D152&gt;=L$61, D152*O$61,C152+D152&gt;=L$60, D152*O$60,C152+D152&lt;L$60,D152*O$59), Setup!I$4=Lookups!D$112,-_xlfn.IFS(C152+D152&gt;=L$69, D152*O$69,C152+D152&gt;=L$68, D152*O$68,C152+D152&gt;=L$67, D152*O$67,C152+D152&lt;L$67,D152*O$66))</f>
        <v>0</v>
      </c>
      <c r="F152" s="18">
        <f t="shared" si="14"/>
        <v>0</v>
      </c>
      <c r="G152" s="1">
        <f t="shared" si="15"/>
        <v>0</v>
      </c>
    </row>
    <row r="153" spans="1:7" x14ac:dyDescent="0.3">
      <c r="A153" s="1">
        <f t="shared" si="9"/>
        <v>0</v>
      </c>
      <c r="C153" s="1">
        <f t="shared" si="13"/>
        <v>0</v>
      </c>
      <c r="D153" s="1">
        <f>IF(Projections!BS53&gt;0,Projections!BS53,0)</f>
        <v>0</v>
      </c>
      <c r="E153" s="1" cm="1">
        <f t="array" ref="E153">_xlfn.IFS(Setup!I$4=Lookups!D$109,-_xlfn.IFS(C153+D153&gt;=L$48, D153*O$48,C153+D153&gt;=L$47, D153*O$47,C153+D153&gt;=L$46,D153*O$46,C153+D153&lt;L$46,D153*O$45),Setup!I$4=Lookups!D$110,-_xlfn.IFS(C153+D153&gt;=L$55, D153*O$55,C153+D153&gt;=L$54, D153*O$54,C153+D153&gt;=L$53, D153*O$53,C153+D153&lt;L$53,D153*O$52),Setup!I$4=Lookups!D$111,-_xlfn.IFS(C153+D153&gt;=L$62, D153*O$62,C153+D153&gt;=L$61, D153*O$61,C153+D153&gt;=L$60, D153*O$60,C153+D153&lt;L$60,D153*O$59), Setup!I$4=Lookups!D$112,-_xlfn.IFS(C153+D153&gt;=L$69, D153*O$69,C153+D153&gt;=L$68, D153*O$68,C153+D153&gt;=L$67, D153*O$67,C153+D153&lt;L$67,D153*O$66))</f>
        <v>0</v>
      </c>
      <c r="F153" s="18">
        <f t="shared" si="14"/>
        <v>0</v>
      </c>
      <c r="G153" s="1">
        <f t="shared" si="15"/>
        <v>0</v>
      </c>
    </row>
    <row r="154" spans="1:7" x14ac:dyDescent="0.3">
      <c r="A154" s="1">
        <f t="shared" si="9"/>
        <v>0</v>
      </c>
      <c r="C154" s="1">
        <f t="shared" si="13"/>
        <v>0</v>
      </c>
      <c r="D154" s="1">
        <f>IF(Projections!BS54&gt;0,Projections!BS54,0)</f>
        <v>0</v>
      </c>
      <c r="E154" s="1" cm="1">
        <f t="array" ref="E154">_xlfn.IFS(Setup!I$4=Lookups!D$109,-_xlfn.IFS(C154+D154&gt;=L$48, D154*O$48,C154+D154&gt;=L$47, D154*O$47,C154+D154&gt;=L$46,D154*O$46,C154+D154&lt;L$46,D154*O$45),Setup!I$4=Lookups!D$110,-_xlfn.IFS(C154+D154&gt;=L$55, D154*O$55,C154+D154&gt;=L$54, D154*O$54,C154+D154&gt;=L$53, D154*O$53,C154+D154&lt;L$53,D154*O$52),Setup!I$4=Lookups!D$111,-_xlfn.IFS(C154+D154&gt;=L$62, D154*O$62,C154+D154&gt;=L$61, D154*O$61,C154+D154&gt;=L$60, D154*O$60,C154+D154&lt;L$60,D154*O$59), Setup!I$4=Lookups!D$112,-_xlfn.IFS(C154+D154&gt;=L$69, D154*O$69,C154+D154&gt;=L$68, D154*O$68,C154+D154&gt;=L$67, D154*O$67,C154+D154&lt;L$67,D154*O$66))</f>
        <v>0</v>
      </c>
      <c r="F154" s="18">
        <f t="shared" si="14"/>
        <v>0</v>
      </c>
      <c r="G154" s="1">
        <f t="shared" si="15"/>
        <v>0</v>
      </c>
    </row>
    <row r="155" spans="1:7" x14ac:dyDescent="0.3">
      <c r="A155" s="1">
        <f t="shared" si="9"/>
        <v>0</v>
      </c>
      <c r="C155" s="1">
        <f t="shared" si="13"/>
        <v>0</v>
      </c>
      <c r="D155" s="1">
        <f>IF(Projections!BS55&gt;0,Projections!BS55,0)</f>
        <v>0</v>
      </c>
      <c r="E155" s="1" cm="1">
        <f t="array" ref="E155">_xlfn.IFS(Setup!I$4=Lookups!D$109,-_xlfn.IFS(C155+D155&gt;=L$48, D155*O$48,C155+D155&gt;=L$47, D155*O$47,C155+D155&gt;=L$46,D155*O$46,C155+D155&lt;L$46,D155*O$45),Setup!I$4=Lookups!D$110,-_xlfn.IFS(C155+D155&gt;=L$55, D155*O$55,C155+D155&gt;=L$54, D155*O$54,C155+D155&gt;=L$53, D155*O$53,C155+D155&lt;L$53,D155*O$52),Setup!I$4=Lookups!D$111,-_xlfn.IFS(C155+D155&gt;=L$62, D155*O$62,C155+D155&gt;=L$61, D155*O$61,C155+D155&gt;=L$60, D155*O$60,C155+D155&lt;L$60,D155*O$59), Setup!I$4=Lookups!D$112,-_xlfn.IFS(C155+D155&gt;=L$69, D155*O$69,C155+D155&gt;=L$68, D155*O$68,C155+D155&gt;=L$67, D155*O$67,C155+D155&lt;L$67,D155*O$66))</f>
        <v>0</v>
      </c>
      <c r="F155" s="18">
        <f t="shared" si="14"/>
        <v>0</v>
      </c>
      <c r="G155" s="1">
        <f t="shared" si="15"/>
        <v>0</v>
      </c>
    </row>
    <row r="156" spans="1:7" x14ac:dyDescent="0.3">
      <c r="A156" s="1">
        <f t="shared" si="9"/>
        <v>0</v>
      </c>
      <c r="C156" s="1">
        <f t="shared" si="13"/>
        <v>0</v>
      </c>
      <c r="D156" s="1">
        <f>IF(Projections!BS56&gt;0,Projections!BS56,0)</f>
        <v>0</v>
      </c>
      <c r="E156" s="1" cm="1">
        <f t="array" ref="E156">_xlfn.IFS(Setup!I$4=Lookups!D$109,-_xlfn.IFS(C156+D156&gt;=L$48, D156*O$48,C156+D156&gt;=L$47, D156*O$47,C156+D156&gt;=L$46,D156*O$46,C156+D156&lt;L$46,D156*O$45),Setup!I$4=Lookups!D$110,-_xlfn.IFS(C156+D156&gt;=L$55, D156*O$55,C156+D156&gt;=L$54, D156*O$54,C156+D156&gt;=L$53, D156*O$53,C156+D156&lt;L$53,D156*O$52),Setup!I$4=Lookups!D$111,-_xlfn.IFS(C156+D156&gt;=L$62, D156*O$62,C156+D156&gt;=L$61, D156*O$61,C156+D156&gt;=L$60, D156*O$60,C156+D156&lt;L$60,D156*O$59), Setup!I$4=Lookups!D$112,-_xlfn.IFS(C156+D156&gt;=L$69, D156*O$69,C156+D156&gt;=L$68, D156*O$68,C156+D156&gt;=L$67, D156*O$67,C156+D156&lt;L$67,D156*O$66))</f>
        <v>0</v>
      </c>
      <c r="F156" s="18">
        <f t="shared" si="14"/>
        <v>0</v>
      </c>
      <c r="G156" s="1">
        <f t="shared" si="15"/>
        <v>0</v>
      </c>
    </row>
    <row r="157" spans="1:7" x14ac:dyDescent="0.3">
      <c r="A157" s="1">
        <f t="shared" si="9"/>
        <v>0</v>
      </c>
      <c r="C157" s="1">
        <f t="shared" si="13"/>
        <v>0</v>
      </c>
      <c r="D157" s="1">
        <f>IF(Projections!BS57&gt;0,Projections!BS57,0)</f>
        <v>0</v>
      </c>
      <c r="E157" s="1" cm="1">
        <f t="array" ref="E157">_xlfn.IFS(Setup!I$4=Lookups!D$109,-_xlfn.IFS(C157+D157&gt;=L$48, D157*O$48,C157+D157&gt;=L$47, D157*O$47,C157+D157&gt;=L$46,D157*O$46,C157+D157&lt;L$46,D157*O$45),Setup!I$4=Lookups!D$110,-_xlfn.IFS(C157+D157&gt;=L$55, D157*O$55,C157+D157&gt;=L$54, D157*O$54,C157+D157&gt;=L$53, D157*O$53,C157+D157&lt;L$53,D157*O$52),Setup!I$4=Lookups!D$111,-_xlfn.IFS(C157+D157&gt;=L$62, D157*O$62,C157+D157&gt;=L$61, D157*O$61,C157+D157&gt;=L$60, D157*O$60,C157+D157&lt;L$60,D157*O$59), Setup!I$4=Lookups!D$112,-_xlfn.IFS(C157+D157&gt;=L$69, D157*O$69,C157+D157&gt;=L$68, D157*O$68,C157+D157&gt;=L$67, D157*O$67,C157+D157&lt;L$67,D157*O$66))</f>
        <v>0</v>
      </c>
      <c r="F157" s="18">
        <f t="shared" si="14"/>
        <v>0</v>
      </c>
      <c r="G157" s="1">
        <f t="shared" si="15"/>
        <v>0</v>
      </c>
    </row>
    <row r="158" spans="1:7" x14ac:dyDescent="0.3">
      <c r="A158" s="1">
        <f t="shared" si="9"/>
        <v>0</v>
      </c>
      <c r="C158" s="1">
        <f t="shared" si="13"/>
        <v>0</v>
      </c>
      <c r="D158" s="1">
        <f>IF(Projections!BS58&gt;0,Projections!BS58,0)</f>
        <v>0</v>
      </c>
      <c r="E158" s="1" cm="1">
        <f t="array" ref="E158">_xlfn.IFS(Setup!I$4=Lookups!D$109,-_xlfn.IFS(C158+D158&gt;=L$48, D158*O$48,C158+D158&gt;=L$47, D158*O$47,C158+D158&gt;=L$46,D158*O$46,C158+D158&lt;L$46,D158*O$45),Setup!I$4=Lookups!D$110,-_xlfn.IFS(C158+D158&gt;=L$55, D158*O$55,C158+D158&gt;=L$54, D158*O$54,C158+D158&gt;=L$53, D158*O$53,C158+D158&lt;L$53,D158*O$52),Setup!I$4=Lookups!D$111,-_xlfn.IFS(C158+D158&gt;=L$62, D158*O$62,C158+D158&gt;=L$61, D158*O$61,C158+D158&gt;=L$60, D158*O$60,C158+D158&lt;L$60,D158*O$59), Setup!I$4=Lookups!D$112,-_xlfn.IFS(C158+D158&gt;=L$69, D158*O$69,C158+D158&gt;=L$68, D158*O$68,C158+D158&gt;=L$67, D158*O$67,C158+D158&lt;L$67,D158*O$66))</f>
        <v>0</v>
      </c>
      <c r="F158" s="18">
        <f t="shared" si="14"/>
        <v>0</v>
      </c>
      <c r="G158" s="1">
        <f t="shared" si="15"/>
        <v>0</v>
      </c>
    </row>
    <row r="159" spans="1:7" x14ac:dyDescent="0.3">
      <c r="A159" s="1">
        <f t="shared" si="9"/>
        <v>0</v>
      </c>
      <c r="C159" s="1">
        <f t="shared" si="13"/>
        <v>0</v>
      </c>
      <c r="D159" s="1">
        <f>IF(Projections!BS59&gt;0,Projections!BS59,0)</f>
        <v>0</v>
      </c>
      <c r="E159" s="1" cm="1">
        <f t="array" ref="E159">_xlfn.IFS(Setup!I$4=Lookups!D$109,-_xlfn.IFS(C159+D159&gt;=L$48, D159*O$48,C159+D159&gt;=L$47, D159*O$47,C159+D159&gt;=L$46,D159*O$46,C159+D159&lt;L$46,D159*O$45),Setup!I$4=Lookups!D$110,-_xlfn.IFS(C159+D159&gt;=L$55, D159*O$55,C159+D159&gt;=L$54, D159*O$54,C159+D159&gt;=L$53, D159*O$53,C159+D159&lt;L$53,D159*O$52),Setup!I$4=Lookups!D$111,-_xlfn.IFS(C159+D159&gt;=L$62, D159*O$62,C159+D159&gt;=L$61, D159*O$61,C159+D159&gt;=L$60, D159*O$60,C159+D159&lt;L$60,D159*O$59), Setup!I$4=Lookups!D$112,-_xlfn.IFS(C159+D159&gt;=L$69, D159*O$69,C159+D159&gt;=L$68, D159*O$68,C159+D159&gt;=L$67, D159*O$67,C159+D159&lt;L$67,D159*O$66))</f>
        <v>0</v>
      </c>
      <c r="F159" s="18">
        <f t="shared" si="14"/>
        <v>0</v>
      </c>
      <c r="G159" s="1">
        <f t="shared" si="15"/>
        <v>0</v>
      </c>
    </row>
    <row r="160" spans="1:7" x14ac:dyDescent="0.3">
      <c r="A160" s="1">
        <f t="shared" si="9"/>
        <v>0</v>
      </c>
      <c r="C160" s="1">
        <f t="shared" si="13"/>
        <v>0</v>
      </c>
      <c r="D160" s="1">
        <f>IF(Projections!BS60&gt;0,Projections!BS60,0)</f>
        <v>0</v>
      </c>
      <c r="E160" s="1" cm="1">
        <f t="array" ref="E160">_xlfn.IFS(Setup!I$4=Lookups!D$109,-_xlfn.IFS(C160+D160&gt;=L$48, D160*O$48,C160+D160&gt;=L$47, D160*O$47,C160+D160&gt;=L$46,D160*O$46,C160+D160&lt;L$46,D160*O$45),Setup!I$4=Lookups!D$110,-_xlfn.IFS(C160+D160&gt;=L$55, D160*O$55,C160+D160&gt;=L$54, D160*O$54,C160+D160&gt;=L$53, D160*O$53,C160+D160&lt;L$53,D160*O$52),Setup!I$4=Lookups!D$111,-_xlfn.IFS(C160+D160&gt;=L$62, D160*O$62,C160+D160&gt;=L$61, D160*O$61,C160+D160&gt;=L$60, D160*O$60,C160+D160&lt;L$60,D160*O$59), Setup!I$4=Lookups!D$112,-_xlfn.IFS(C160+D160&gt;=L$69, D160*O$69,C160+D160&gt;=L$68, D160*O$68,C160+D160&gt;=L$67, D160*O$67,C160+D160&lt;L$67,D160*O$66))</f>
        <v>0</v>
      </c>
      <c r="F160" s="18">
        <f t="shared" si="14"/>
        <v>0</v>
      </c>
      <c r="G160" s="1">
        <f t="shared" si="15"/>
        <v>0</v>
      </c>
    </row>
    <row r="161" spans="1:7" x14ac:dyDescent="0.3">
      <c r="A161" s="1">
        <f t="shared" si="9"/>
        <v>0</v>
      </c>
      <c r="C161" s="1">
        <f t="shared" si="13"/>
        <v>0</v>
      </c>
      <c r="D161" s="1">
        <f>IF(Projections!BS61&gt;0,Projections!BS61,0)</f>
        <v>0</v>
      </c>
      <c r="E161" s="1" cm="1">
        <f t="array" ref="E161">_xlfn.IFS(Setup!I$4=Lookups!D$109,-_xlfn.IFS(C161+D161&gt;=L$48, D161*O$48,C161+D161&gt;=L$47, D161*O$47,C161+D161&gt;=L$46,D161*O$46,C161+D161&lt;L$46,D161*O$45),Setup!I$4=Lookups!D$110,-_xlfn.IFS(C161+D161&gt;=L$55, D161*O$55,C161+D161&gt;=L$54, D161*O$54,C161+D161&gt;=L$53, D161*O$53,C161+D161&lt;L$53,D161*O$52),Setup!I$4=Lookups!D$111,-_xlfn.IFS(C161+D161&gt;=L$62, D161*O$62,C161+D161&gt;=L$61, D161*O$61,C161+D161&gt;=L$60, D161*O$60,C161+D161&lt;L$60,D161*O$59), Setup!I$4=Lookups!D$112,-_xlfn.IFS(C161+D161&gt;=L$69, D161*O$69,C161+D161&gt;=L$68, D161*O$68,C161+D161&gt;=L$67, D161*O$67,C161+D161&lt;L$67,D161*O$66))</f>
        <v>0</v>
      </c>
      <c r="F161" s="18">
        <f t="shared" si="14"/>
        <v>0</v>
      </c>
      <c r="G161" s="1">
        <f t="shared" si="15"/>
        <v>0</v>
      </c>
    </row>
    <row r="162" spans="1:7" x14ac:dyDescent="0.3">
      <c r="A162" s="1">
        <f t="shared" si="9"/>
        <v>0</v>
      </c>
      <c r="C162" s="1">
        <f t="shared" si="13"/>
        <v>0</v>
      </c>
      <c r="D162" s="1">
        <f>IF(Projections!BS62&gt;0,Projections!BS62,0)</f>
        <v>0</v>
      </c>
      <c r="E162" s="1" cm="1">
        <f t="array" ref="E162">_xlfn.IFS(Setup!I$4=Lookups!D$109,-_xlfn.IFS(C162+D162&gt;=L$48, D162*O$48,C162+D162&gt;=L$47, D162*O$47,C162+D162&gt;=L$46,D162*O$46,C162+D162&lt;L$46,D162*O$45),Setup!I$4=Lookups!D$110,-_xlfn.IFS(C162+D162&gt;=L$55, D162*O$55,C162+D162&gt;=L$54, D162*O$54,C162+D162&gt;=L$53, D162*O$53,C162+D162&lt;L$53,D162*O$52),Setup!I$4=Lookups!D$111,-_xlfn.IFS(C162+D162&gt;=L$62, D162*O$62,C162+D162&gt;=L$61, D162*O$61,C162+D162&gt;=L$60, D162*O$60,C162+D162&lt;L$60,D162*O$59), Setup!I$4=Lookups!D$112,-_xlfn.IFS(C162+D162&gt;=L$69, D162*O$69,C162+D162&gt;=L$68, D162*O$68,C162+D162&gt;=L$67, D162*O$67,C162+D162&lt;L$67,D162*O$66))</f>
        <v>0</v>
      </c>
      <c r="F162" s="18">
        <f t="shared" si="14"/>
        <v>0</v>
      </c>
      <c r="G162" s="1">
        <f t="shared" si="15"/>
        <v>0</v>
      </c>
    </row>
    <row r="163" spans="1:7" x14ac:dyDescent="0.3">
      <c r="A163" s="1">
        <f t="shared" si="9"/>
        <v>0</v>
      </c>
      <c r="C163" s="1">
        <f t="shared" si="13"/>
        <v>0</v>
      </c>
      <c r="D163" s="1">
        <f>IF(Projections!BS63&gt;0,Projections!BS63,0)</f>
        <v>0</v>
      </c>
      <c r="E163" s="1" cm="1">
        <f t="array" ref="E163">_xlfn.IFS(Setup!I$4=Lookups!D$109,-_xlfn.IFS(C163+D163&gt;=L$48, D163*O$48,C163+D163&gt;=L$47, D163*O$47,C163+D163&gt;=L$46,D163*O$46,C163+D163&lt;L$46,D163*O$45),Setup!I$4=Lookups!D$110,-_xlfn.IFS(C163+D163&gt;=L$55, D163*O$55,C163+D163&gt;=L$54, D163*O$54,C163+D163&gt;=L$53, D163*O$53,C163+D163&lt;L$53,D163*O$52),Setup!I$4=Lookups!D$111,-_xlfn.IFS(C163+D163&gt;=L$62, D163*O$62,C163+D163&gt;=L$61, D163*O$61,C163+D163&gt;=L$60, D163*O$60,C163+D163&lt;L$60,D163*O$59), Setup!I$4=Lookups!D$112,-_xlfn.IFS(C163+D163&gt;=L$69, D163*O$69,C163+D163&gt;=L$68, D163*O$68,C163+D163&gt;=L$67, D163*O$67,C163+D163&lt;L$67,D163*O$66))</f>
        <v>0</v>
      </c>
      <c r="F163" s="18">
        <f t="shared" si="14"/>
        <v>0</v>
      </c>
      <c r="G163" s="1">
        <f t="shared" si="15"/>
        <v>0</v>
      </c>
    </row>
    <row r="164" spans="1:7" x14ac:dyDescent="0.3">
      <c r="A164" s="1">
        <f t="shared" si="9"/>
        <v>0</v>
      </c>
      <c r="C164" s="1">
        <f t="shared" si="13"/>
        <v>0</v>
      </c>
      <c r="D164" s="1">
        <f>IF(Projections!BS64&gt;0,Projections!BS64,0)</f>
        <v>0</v>
      </c>
      <c r="E164" s="1" cm="1">
        <f t="array" ref="E164">_xlfn.IFS(Setup!I$4=Lookups!D$109,-_xlfn.IFS(C164+D164&gt;=L$48, D164*O$48,C164+D164&gt;=L$47, D164*O$47,C164+D164&gt;=L$46,D164*O$46,C164+D164&lt;L$46,D164*O$45),Setup!I$4=Lookups!D$110,-_xlfn.IFS(C164+D164&gt;=L$55, D164*O$55,C164+D164&gt;=L$54, D164*O$54,C164+D164&gt;=L$53, D164*O$53,C164+D164&lt;L$53,D164*O$52),Setup!I$4=Lookups!D$111,-_xlfn.IFS(C164+D164&gt;=L$62, D164*O$62,C164+D164&gt;=L$61, D164*O$61,C164+D164&gt;=L$60, D164*O$60,C164+D164&lt;L$60,D164*O$59), Setup!I$4=Lookups!D$112,-_xlfn.IFS(C164+D164&gt;=L$69, D164*O$69,C164+D164&gt;=L$68, D164*O$68,C164+D164&gt;=L$67, D164*O$67,C164+D164&lt;L$67,D164*O$66))</f>
        <v>0</v>
      </c>
      <c r="F164" s="18">
        <f t="shared" si="14"/>
        <v>0</v>
      </c>
      <c r="G164" s="1">
        <f t="shared" si="15"/>
        <v>0</v>
      </c>
    </row>
    <row r="165" spans="1:7" x14ac:dyDescent="0.3">
      <c r="A165" s="1">
        <f t="shared" si="9"/>
        <v>0</v>
      </c>
      <c r="C165" s="1">
        <f t="shared" si="13"/>
        <v>0</v>
      </c>
      <c r="D165" s="1">
        <f>IF(Projections!BS65&gt;0,Projections!BS65,0)</f>
        <v>0</v>
      </c>
      <c r="E165" s="1" cm="1">
        <f t="array" ref="E165">_xlfn.IFS(Setup!I$4=Lookups!D$109,-_xlfn.IFS(C165+D165&gt;=L$48, D165*O$48,C165+D165&gt;=L$47, D165*O$47,C165+D165&gt;=L$46,D165*O$46,C165+D165&lt;L$46,D165*O$45),Setup!I$4=Lookups!D$110,-_xlfn.IFS(C165+D165&gt;=L$55, D165*O$55,C165+D165&gt;=L$54, D165*O$54,C165+D165&gt;=L$53, D165*O$53,C165+D165&lt;L$53,D165*O$52),Setup!I$4=Lookups!D$111,-_xlfn.IFS(C165+D165&gt;=L$62, D165*O$62,C165+D165&gt;=L$61, D165*O$61,C165+D165&gt;=L$60, D165*O$60,C165+D165&lt;L$60,D165*O$59), Setup!I$4=Lookups!D$112,-_xlfn.IFS(C165+D165&gt;=L$69, D165*O$69,C165+D165&gt;=L$68, D165*O$68,C165+D165&gt;=L$67, D165*O$67,C165+D165&lt;L$67,D165*O$66))</f>
        <v>0</v>
      </c>
      <c r="F165" s="18">
        <f t="shared" si="14"/>
        <v>0</v>
      </c>
      <c r="G165" s="1">
        <f t="shared" si="15"/>
        <v>0</v>
      </c>
    </row>
    <row r="166" spans="1:7" x14ac:dyDescent="0.3">
      <c r="A166" s="1">
        <f t="shared" si="9"/>
        <v>0</v>
      </c>
      <c r="C166" s="1">
        <f t="shared" si="13"/>
        <v>0</v>
      </c>
      <c r="D166" s="1">
        <f>IF(Projections!BS66&gt;0,Projections!BS66,0)</f>
        <v>0</v>
      </c>
      <c r="E166" s="1" cm="1">
        <f t="array" ref="E166">_xlfn.IFS(Setup!I$4=Lookups!D$109,-_xlfn.IFS(C166+D166&gt;=L$48, D166*O$48,C166+D166&gt;=L$47, D166*O$47,C166+D166&gt;=L$46,D166*O$46,C166+D166&lt;L$46,D166*O$45),Setup!I$4=Lookups!D$110,-_xlfn.IFS(C166+D166&gt;=L$55, D166*O$55,C166+D166&gt;=L$54, D166*O$54,C166+D166&gt;=L$53, D166*O$53,C166+D166&lt;L$53,D166*O$52),Setup!I$4=Lookups!D$111,-_xlfn.IFS(C166+D166&gt;=L$62, D166*O$62,C166+D166&gt;=L$61, D166*O$61,C166+D166&gt;=L$60, D166*O$60,C166+D166&lt;L$60,D166*O$59), Setup!I$4=Lookups!D$112,-_xlfn.IFS(C166+D166&gt;=L$69, D166*O$69,C166+D166&gt;=L$68, D166*O$68,C166+D166&gt;=L$67, D166*O$67,C166+D166&lt;L$67,D166*O$66))</f>
        <v>0</v>
      </c>
      <c r="F166" s="18">
        <f t="shared" si="14"/>
        <v>0</v>
      </c>
      <c r="G166" s="1">
        <f t="shared" si="15"/>
        <v>0</v>
      </c>
    </row>
    <row r="167" spans="1:7" x14ac:dyDescent="0.3">
      <c r="A167" s="1">
        <f t="shared" si="9"/>
        <v>0</v>
      </c>
      <c r="C167" s="1">
        <f t="shared" si="13"/>
        <v>0</v>
      </c>
      <c r="D167" s="1">
        <f>IF(Projections!BS67&gt;0,Projections!BS67,0)</f>
        <v>0</v>
      </c>
      <c r="E167" s="1" cm="1">
        <f t="array" ref="E167">_xlfn.IFS(Setup!I$4=Lookups!D$109,-_xlfn.IFS(C167+D167&gt;=L$48, D167*O$48,C167+D167&gt;=L$47, D167*O$47,C167+D167&gt;=L$46,D167*O$46,C167+D167&lt;L$46,D167*O$45),Setup!I$4=Lookups!D$110,-_xlfn.IFS(C167+D167&gt;=L$55, D167*O$55,C167+D167&gt;=L$54, D167*O$54,C167+D167&gt;=L$53, D167*O$53,C167+D167&lt;L$53,D167*O$52),Setup!I$4=Lookups!D$111,-_xlfn.IFS(C167+D167&gt;=L$62, D167*O$62,C167+D167&gt;=L$61, D167*O$61,C167+D167&gt;=L$60, D167*O$60,C167+D167&lt;L$60,D167*O$59), Setup!I$4=Lookups!D$112,-_xlfn.IFS(C167+D167&gt;=L$69, D167*O$69,C167+D167&gt;=L$68, D167*O$68,C167+D167&gt;=L$67, D167*O$67,C167+D167&lt;L$67,D167*O$66))</f>
        <v>0</v>
      </c>
      <c r="F167" s="18">
        <f t="shared" si="14"/>
        <v>0</v>
      </c>
      <c r="G167" s="1">
        <f t="shared" si="15"/>
        <v>0</v>
      </c>
    </row>
    <row r="168" spans="1:7" x14ac:dyDescent="0.3">
      <c r="A168" s="1">
        <f t="shared" si="9"/>
        <v>0</v>
      </c>
      <c r="C168" s="1">
        <f t="shared" si="13"/>
        <v>0</v>
      </c>
      <c r="D168" s="1">
        <f>IF(Projections!BS68&gt;0,Projections!BS68,0)</f>
        <v>0</v>
      </c>
      <c r="E168" s="1" cm="1">
        <f t="array" ref="E168">_xlfn.IFS(Setup!I$4=Lookups!D$109,-_xlfn.IFS(C168+D168&gt;=L$48, D168*O$48,C168+D168&gt;=L$47, D168*O$47,C168+D168&gt;=L$46,D168*O$46,C168+D168&lt;L$46,D168*O$45),Setup!I$4=Lookups!D$110,-_xlfn.IFS(C168+D168&gt;=L$55, D168*O$55,C168+D168&gt;=L$54, D168*O$54,C168+D168&gt;=L$53, D168*O$53,C168+D168&lt;L$53,D168*O$52),Setup!I$4=Lookups!D$111,-_xlfn.IFS(C168+D168&gt;=L$62, D168*O$62,C168+D168&gt;=L$61, D168*O$61,C168+D168&gt;=L$60, D168*O$60,C168+D168&lt;L$60,D168*O$59), Setup!I$4=Lookups!D$112,-_xlfn.IFS(C168+D168&gt;=L$69, D168*O$69,C168+D168&gt;=L$68, D168*O$68,C168+D168&gt;=L$67, D168*O$67,C168+D168&lt;L$67,D168*O$66))</f>
        <v>0</v>
      </c>
      <c r="F168" s="18">
        <f t="shared" si="14"/>
        <v>0</v>
      </c>
      <c r="G168" s="1">
        <f t="shared" si="15"/>
        <v>0</v>
      </c>
    </row>
    <row r="169" spans="1:7" x14ac:dyDescent="0.3">
      <c r="A169" s="1">
        <f t="shared" si="9"/>
        <v>0</v>
      </c>
      <c r="C169" s="1">
        <f t="shared" si="13"/>
        <v>0</v>
      </c>
      <c r="D169" s="1">
        <f>IF(Projections!BS69&gt;0,Projections!BS69,0)</f>
        <v>0</v>
      </c>
      <c r="E169" s="1" cm="1">
        <f t="array" ref="E169">_xlfn.IFS(Setup!I$4=Lookups!D$109,-_xlfn.IFS(C169+D169&gt;=L$48, D169*O$48,C169+D169&gt;=L$47, D169*O$47,C169+D169&gt;=L$46,D169*O$46,C169+D169&lt;L$46,D169*O$45),Setup!I$4=Lookups!D$110,-_xlfn.IFS(C169+D169&gt;=L$55, D169*O$55,C169+D169&gt;=L$54, D169*O$54,C169+D169&gt;=L$53, D169*O$53,C169+D169&lt;L$53,D169*O$52),Setup!I$4=Lookups!D$111,-_xlfn.IFS(C169+D169&gt;=L$62, D169*O$62,C169+D169&gt;=L$61, D169*O$61,C169+D169&gt;=L$60, D169*O$60,C169+D169&lt;L$60,D169*O$59), Setup!I$4=Lookups!D$112,-_xlfn.IFS(C169+D169&gt;=L$69, D169*O$69,C169+D169&gt;=L$68, D169*O$68,C169+D169&gt;=L$67, D169*O$67,C169+D169&lt;L$67,D169*O$66))</f>
        <v>0</v>
      </c>
      <c r="F169" s="18">
        <f t="shared" si="14"/>
        <v>0</v>
      </c>
      <c r="G169" s="1">
        <f t="shared" si="15"/>
        <v>0</v>
      </c>
    </row>
    <row r="170" spans="1:7" x14ac:dyDescent="0.3">
      <c r="A170" s="1">
        <f t="shared" si="9"/>
        <v>0</v>
      </c>
      <c r="C170" s="1">
        <f t="shared" si="13"/>
        <v>0</v>
      </c>
      <c r="D170" s="1">
        <f>IF(Projections!BS70&gt;0,Projections!BS70,0)</f>
        <v>0</v>
      </c>
      <c r="E170" s="1" cm="1">
        <f t="array" ref="E170">_xlfn.IFS(Setup!I$4=Lookups!D$109,-_xlfn.IFS(C170+D170&gt;=L$48, D170*O$48,C170+D170&gt;=L$47, D170*O$47,C170+D170&gt;=L$46,D170*O$46,C170+D170&lt;L$46,D170*O$45),Setup!I$4=Lookups!D$110,-_xlfn.IFS(C170+D170&gt;=L$55, D170*O$55,C170+D170&gt;=L$54, D170*O$54,C170+D170&gt;=L$53, D170*O$53,C170+D170&lt;L$53,D170*O$52),Setup!I$4=Lookups!D$111,-_xlfn.IFS(C170+D170&gt;=L$62, D170*O$62,C170+D170&gt;=L$61, D170*O$61,C170+D170&gt;=L$60, D170*O$60,C170+D170&lt;L$60,D170*O$59), Setup!I$4=Lookups!D$112,-_xlfn.IFS(C170+D170&gt;=L$69, D170*O$69,C170+D170&gt;=L$68, D170*O$68,C170+D170&gt;=L$67, D170*O$67,C170+D170&lt;L$67,D170*O$66))</f>
        <v>0</v>
      </c>
      <c r="F170" s="18">
        <f t="shared" si="14"/>
        <v>0</v>
      </c>
      <c r="G170" s="1">
        <f t="shared" si="15"/>
        <v>0</v>
      </c>
    </row>
    <row r="171" spans="1:7" x14ac:dyDescent="0.3">
      <c r="A171" s="1">
        <f t="shared" ref="A171:A192" si="16">E171+G171</f>
        <v>0</v>
      </c>
      <c r="C171" s="1">
        <f t="shared" ref="C171" si="17">D71</f>
        <v>0</v>
      </c>
      <c r="D171" s="1">
        <f>IF(Projections!BS71&gt;0,Projections!BS71,0)</f>
        <v>0</v>
      </c>
      <c r="E171" s="1" cm="1">
        <f t="array" ref="E171">_xlfn.IFS(Setup!I$4=Lookups!D$109,-_xlfn.IFS(C171+D171&gt;=L$48, D171*O$48,C171+D171&gt;=L$47, D171*O$47,C171+D171&gt;=L$46,D171*O$46,C171+D171&lt;L$46,D171*O$45),Setup!I$4=Lookups!D$110,-_xlfn.IFS(C171+D171&gt;=L$55, D171*O$55,C171+D171&gt;=L$54, D171*O$54,C171+D171&gt;=L$53, D171*O$53,C171+D171&lt;L$53,D171*O$52),Setup!I$4=Lookups!D$111,-_xlfn.IFS(C171+D171&gt;=L$62, D171*O$62,C171+D171&gt;=L$61, D171*O$61,C171+D171&gt;=L$60, D171*O$60,C171+D171&lt;L$60,D171*O$59), Setup!I$4=Lookups!D$112,-_xlfn.IFS(C171+D171&gt;=L$69, D171*O$69,C171+D171&gt;=L$68, D171*O$68,C171+D171&gt;=L$67, D171*O$67,C171+D171&lt;L$67,D171*O$66))</f>
        <v>0</v>
      </c>
      <c r="F171" s="18">
        <f t="shared" ref="F171:F192" si="18">IF(D171=0,0,-E171/D171)</f>
        <v>0</v>
      </c>
      <c r="G171" s="1">
        <f t="shared" ref="G171:G192" si="19">IF(D171=0,0,(E171*F171^2)+(E171*F171^3)+(E171*F171^4)+(E171*F171^5)+(E171*F171^6)+(E171*F171^7)+(E171*F171^8)+(E171*F171^9)+(E171*F171^10))</f>
        <v>0</v>
      </c>
    </row>
    <row r="172" spans="1:7" x14ac:dyDescent="0.3">
      <c r="A172" s="1">
        <f t="shared" si="16"/>
        <v>0</v>
      </c>
      <c r="C172" s="1">
        <f t="shared" ref="C172:C192" si="20">D72</f>
        <v>0</v>
      </c>
      <c r="D172" s="1">
        <f>IF(Projections!BS72&gt;0,Projections!BS72,0)</f>
        <v>0</v>
      </c>
      <c r="E172" s="1" cm="1">
        <f t="array" ref="E172">_xlfn.IFS(Setup!I$4=Lookups!D$109,-_xlfn.IFS(C172+D172&gt;=L$48, D172*O$48,C172+D172&gt;=L$47, D172*O$47,C172+D172&gt;=L$46,D172*O$46,C172+D172&lt;L$46,D172*O$45),Setup!I$4=Lookups!D$110,-_xlfn.IFS(C172+D172&gt;=L$55, D172*O$55,C172+D172&gt;=L$54, D172*O$54,C172+D172&gt;=L$53, D172*O$53,C172+D172&lt;L$53,D172*O$52),Setup!I$4=Lookups!D$111,-_xlfn.IFS(C172+D172&gt;=L$62, D172*O$62,C172+D172&gt;=L$61, D172*O$61,C172+D172&gt;=L$60, D172*O$60,C172+D172&lt;L$60,D172*O$59), Setup!I$4=Lookups!D$112,-_xlfn.IFS(C172+D172&gt;=L$69, D172*O$69,C172+D172&gt;=L$68, D172*O$68,C172+D172&gt;=L$67, D172*O$67,C172+D172&lt;L$67,D172*O$66))</f>
        <v>0</v>
      </c>
      <c r="F172" s="18">
        <f t="shared" si="18"/>
        <v>0</v>
      </c>
      <c r="G172" s="1">
        <f t="shared" si="19"/>
        <v>0</v>
      </c>
    </row>
    <row r="173" spans="1:7" x14ac:dyDescent="0.3">
      <c r="A173" s="1">
        <f t="shared" si="16"/>
        <v>0</v>
      </c>
      <c r="C173" s="1">
        <f t="shared" si="20"/>
        <v>0</v>
      </c>
      <c r="D173" s="1">
        <f>IF(Projections!BS73&gt;0,Projections!BS73,0)</f>
        <v>0</v>
      </c>
      <c r="E173" s="1" cm="1">
        <f t="array" ref="E173">_xlfn.IFS(Setup!I$4=Lookups!D$109,-_xlfn.IFS(C173+D173&gt;=L$48, D173*O$48,C173+D173&gt;=L$47, D173*O$47,C173+D173&gt;=L$46,D173*O$46,C173+D173&lt;L$46,D173*O$45),Setup!I$4=Lookups!D$110,-_xlfn.IFS(C173+D173&gt;=L$55, D173*O$55,C173+D173&gt;=L$54, D173*O$54,C173+D173&gt;=L$53, D173*O$53,C173+D173&lt;L$53,D173*O$52),Setup!I$4=Lookups!D$111,-_xlfn.IFS(C173+D173&gt;=L$62, D173*O$62,C173+D173&gt;=L$61, D173*O$61,C173+D173&gt;=L$60, D173*O$60,C173+D173&lt;L$60,D173*O$59), Setup!I$4=Lookups!D$112,-_xlfn.IFS(C173+D173&gt;=L$69, D173*O$69,C173+D173&gt;=L$68, D173*O$68,C173+D173&gt;=L$67, D173*O$67,C173+D173&lt;L$67,D173*O$66))</f>
        <v>0</v>
      </c>
      <c r="F173" s="18">
        <f t="shared" si="18"/>
        <v>0</v>
      </c>
      <c r="G173" s="1">
        <f t="shared" si="19"/>
        <v>0</v>
      </c>
    </row>
    <row r="174" spans="1:7" x14ac:dyDescent="0.3">
      <c r="A174" s="1">
        <f t="shared" si="16"/>
        <v>0</v>
      </c>
      <c r="C174" s="1">
        <f t="shared" si="20"/>
        <v>0</v>
      </c>
      <c r="D174" s="1">
        <f>IF(Projections!BS74&gt;0,Projections!BS74,0)</f>
        <v>0</v>
      </c>
      <c r="E174" s="1" cm="1">
        <f t="array" ref="E174">_xlfn.IFS(Setup!I$4=Lookups!D$109,-_xlfn.IFS(C174+D174&gt;=L$48, D174*O$48,C174+D174&gt;=L$47, D174*O$47,C174+D174&gt;=L$46,D174*O$46,C174+D174&lt;L$46,D174*O$45),Setup!I$4=Lookups!D$110,-_xlfn.IFS(C174+D174&gt;=L$55, D174*O$55,C174+D174&gt;=L$54, D174*O$54,C174+D174&gt;=L$53, D174*O$53,C174+D174&lt;L$53,D174*O$52),Setup!I$4=Lookups!D$111,-_xlfn.IFS(C174+D174&gt;=L$62, D174*O$62,C174+D174&gt;=L$61, D174*O$61,C174+D174&gt;=L$60, D174*O$60,C174+D174&lt;L$60,D174*O$59), Setup!I$4=Lookups!D$112,-_xlfn.IFS(C174+D174&gt;=L$69, D174*O$69,C174+D174&gt;=L$68, D174*O$68,C174+D174&gt;=L$67, D174*O$67,C174+D174&lt;L$67,D174*O$66))</f>
        <v>0</v>
      </c>
      <c r="F174" s="18">
        <f t="shared" si="18"/>
        <v>0</v>
      </c>
      <c r="G174" s="1">
        <f t="shared" si="19"/>
        <v>0</v>
      </c>
    </row>
    <row r="175" spans="1:7" x14ac:dyDescent="0.3">
      <c r="A175" s="1">
        <f t="shared" si="16"/>
        <v>0</v>
      </c>
      <c r="C175" s="1">
        <f t="shared" si="20"/>
        <v>0</v>
      </c>
      <c r="D175" s="1">
        <f>IF(Projections!BS75&gt;0,Projections!BS75,0)</f>
        <v>0</v>
      </c>
      <c r="E175" s="1" cm="1">
        <f t="array" ref="E175">_xlfn.IFS(Setup!I$4=Lookups!D$109,-_xlfn.IFS(C175+D175&gt;=L$48, D175*O$48,C175+D175&gt;=L$47, D175*O$47,C175+D175&gt;=L$46,D175*O$46,C175+D175&lt;L$46,D175*O$45),Setup!I$4=Lookups!D$110,-_xlfn.IFS(C175+D175&gt;=L$55, D175*O$55,C175+D175&gt;=L$54, D175*O$54,C175+D175&gt;=L$53, D175*O$53,C175+D175&lt;L$53,D175*O$52),Setup!I$4=Lookups!D$111,-_xlfn.IFS(C175+D175&gt;=L$62, D175*O$62,C175+D175&gt;=L$61, D175*O$61,C175+D175&gt;=L$60, D175*O$60,C175+D175&lt;L$60,D175*O$59), Setup!I$4=Lookups!D$112,-_xlfn.IFS(C175+D175&gt;=L$69, D175*O$69,C175+D175&gt;=L$68, D175*O$68,C175+D175&gt;=L$67, D175*O$67,C175+D175&lt;L$67,D175*O$66))</f>
        <v>0</v>
      </c>
      <c r="F175" s="18">
        <f t="shared" si="18"/>
        <v>0</v>
      </c>
      <c r="G175" s="1">
        <f t="shared" si="19"/>
        <v>0</v>
      </c>
    </row>
    <row r="176" spans="1:7" x14ac:dyDescent="0.3">
      <c r="A176" s="1">
        <f t="shared" si="16"/>
        <v>0</v>
      </c>
      <c r="C176" s="1">
        <f t="shared" si="20"/>
        <v>0</v>
      </c>
      <c r="D176" s="1">
        <f>IF(Projections!BS76&gt;0,Projections!BS76,0)</f>
        <v>0</v>
      </c>
      <c r="E176" s="1" cm="1">
        <f t="array" ref="E176">_xlfn.IFS(Setup!I$4=Lookups!D$109,-_xlfn.IFS(C176+D176&gt;=L$48, D176*O$48,C176+D176&gt;=L$47, D176*O$47,C176+D176&gt;=L$46,D176*O$46,C176+D176&lt;L$46,D176*O$45),Setup!I$4=Lookups!D$110,-_xlfn.IFS(C176+D176&gt;=L$55, D176*O$55,C176+D176&gt;=L$54, D176*O$54,C176+D176&gt;=L$53, D176*O$53,C176+D176&lt;L$53,D176*O$52),Setup!I$4=Lookups!D$111,-_xlfn.IFS(C176+D176&gt;=L$62, D176*O$62,C176+D176&gt;=L$61, D176*O$61,C176+D176&gt;=L$60, D176*O$60,C176+D176&lt;L$60,D176*O$59), Setup!I$4=Lookups!D$112,-_xlfn.IFS(C176+D176&gt;=L$69, D176*O$69,C176+D176&gt;=L$68, D176*O$68,C176+D176&gt;=L$67, D176*O$67,C176+D176&lt;L$67,D176*O$66))</f>
        <v>0</v>
      </c>
      <c r="F176" s="18">
        <f t="shared" si="18"/>
        <v>0</v>
      </c>
      <c r="G176" s="1">
        <f t="shared" si="19"/>
        <v>0</v>
      </c>
    </row>
    <row r="177" spans="1:7" x14ac:dyDescent="0.3">
      <c r="A177" s="1">
        <f t="shared" si="16"/>
        <v>0</v>
      </c>
      <c r="C177" s="1">
        <f t="shared" si="20"/>
        <v>0</v>
      </c>
      <c r="D177" s="1">
        <f>IF(Projections!BS77&gt;0,Projections!BS77,0)</f>
        <v>0</v>
      </c>
      <c r="E177" s="1" cm="1">
        <f t="array" ref="E177">_xlfn.IFS(Setup!I$4=Lookups!D$109,-_xlfn.IFS(C177+D177&gt;=L$48, D177*O$48,C177+D177&gt;=L$47, D177*O$47,C177+D177&gt;=L$46,D177*O$46,C177+D177&lt;L$46,D177*O$45),Setup!I$4=Lookups!D$110,-_xlfn.IFS(C177+D177&gt;=L$55, D177*O$55,C177+D177&gt;=L$54, D177*O$54,C177+D177&gt;=L$53, D177*O$53,C177+D177&lt;L$53,D177*O$52),Setup!I$4=Lookups!D$111,-_xlfn.IFS(C177+D177&gt;=L$62, D177*O$62,C177+D177&gt;=L$61, D177*O$61,C177+D177&gt;=L$60, D177*O$60,C177+D177&lt;L$60,D177*O$59), Setup!I$4=Lookups!D$112,-_xlfn.IFS(C177+D177&gt;=L$69, D177*O$69,C177+D177&gt;=L$68, D177*O$68,C177+D177&gt;=L$67, D177*O$67,C177+D177&lt;L$67,D177*O$66))</f>
        <v>0</v>
      </c>
      <c r="F177" s="18">
        <f t="shared" si="18"/>
        <v>0</v>
      </c>
      <c r="G177" s="1">
        <f t="shared" si="19"/>
        <v>0</v>
      </c>
    </row>
    <row r="178" spans="1:7" x14ac:dyDescent="0.3">
      <c r="A178" s="1">
        <f t="shared" si="16"/>
        <v>0</v>
      </c>
      <c r="C178" s="1">
        <f t="shared" si="20"/>
        <v>0</v>
      </c>
      <c r="D178" s="1">
        <f>IF(Projections!BS78&gt;0,Projections!BS78,0)</f>
        <v>0</v>
      </c>
      <c r="E178" s="1" cm="1">
        <f t="array" ref="E178">_xlfn.IFS(Setup!I$4=Lookups!D$109,-_xlfn.IFS(C178+D178&gt;=L$48, D178*O$48,C178+D178&gt;=L$47, D178*O$47,C178+D178&gt;=L$46,D178*O$46,C178+D178&lt;L$46,D178*O$45),Setup!I$4=Lookups!D$110,-_xlfn.IFS(C178+D178&gt;=L$55, D178*O$55,C178+D178&gt;=L$54, D178*O$54,C178+D178&gt;=L$53, D178*O$53,C178+D178&lt;L$53,D178*O$52),Setup!I$4=Lookups!D$111,-_xlfn.IFS(C178+D178&gt;=L$62, D178*O$62,C178+D178&gt;=L$61, D178*O$61,C178+D178&gt;=L$60, D178*O$60,C178+D178&lt;L$60,D178*O$59), Setup!I$4=Lookups!D$112,-_xlfn.IFS(C178+D178&gt;=L$69, D178*O$69,C178+D178&gt;=L$68, D178*O$68,C178+D178&gt;=L$67, D178*O$67,C178+D178&lt;L$67,D178*O$66))</f>
        <v>0</v>
      </c>
      <c r="F178" s="18">
        <f t="shared" si="18"/>
        <v>0</v>
      </c>
      <c r="G178" s="1">
        <f t="shared" si="19"/>
        <v>0</v>
      </c>
    </row>
    <row r="179" spans="1:7" x14ac:dyDescent="0.3">
      <c r="A179" s="1">
        <f t="shared" si="16"/>
        <v>0</v>
      </c>
      <c r="C179" s="1">
        <f t="shared" si="20"/>
        <v>0</v>
      </c>
      <c r="D179" s="1">
        <f>IF(Projections!BS79&gt;0,Projections!BS79,0)</f>
        <v>0</v>
      </c>
      <c r="E179" s="1" cm="1">
        <f t="array" ref="E179">_xlfn.IFS(Setup!I$4=Lookups!D$109,-_xlfn.IFS(C179+D179&gt;=L$48, D179*O$48,C179+D179&gt;=L$47, D179*O$47,C179+D179&gt;=L$46,D179*O$46,C179+D179&lt;L$46,D179*O$45),Setup!I$4=Lookups!D$110,-_xlfn.IFS(C179+D179&gt;=L$55, D179*O$55,C179+D179&gt;=L$54, D179*O$54,C179+D179&gt;=L$53, D179*O$53,C179+D179&lt;L$53,D179*O$52),Setup!I$4=Lookups!D$111,-_xlfn.IFS(C179+D179&gt;=L$62, D179*O$62,C179+D179&gt;=L$61, D179*O$61,C179+D179&gt;=L$60, D179*O$60,C179+D179&lt;L$60,D179*O$59), Setup!I$4=Lookups!D$112,-_xlfn.IFS(C179+D179&gt;=L$69, D179*O$69,C179+D179&gt;=L$68, D179*O$68,C179+D179&gt;=L$67, D179*O$67,C179+D179&lt;L$67,D179*O$66))</f>
        <v>0</v>
      </c>
      <c r="F179" s="18">
        <f t="shared" si="18"/>
        <v>0</v>
      </c>
      <c r="G179" s="1">
        <f t="shared" si="19"/>
        <v>0</v>
      </c>
    </row>
    <row r="180" spans="1:7" x14ac:dyDescent="0.3">
      <c r="A180" s="1">
        <f t="shared" si="16"/>
        <v>0</v>
      </c>
      <c r="C180" s="1">
        <f t="shared" si="20"/>
        <v>0</v>
      </c>
      <c r="D180" s="1">
        <f>IF(Projections!BS80&gt;0,Projections!BS80,0)</f>
        <v>0</v>
      </c>
      <c r="E180" s="1" cm="1">
        <f t="array" ref="E180">_xlfn.IFS(Setup!I$4=Lookups!D$109,-_xlfn.IFS(C180+D180&gt;=L$48, D180*O$48,C180+D180&gt;=L$47, D180*O$47,C180+D180&gt;=L$46,D180*O$46,C180+D180&lt;L$46,D180*O$45),Setup!I$4=Lookups!D$110,-_xlfn.IFS(C180+D180&gt;=L$55, D180*O$55,C180+D180&gt;=L$54, D180*O$54,C180+D180&gt;=L$53, D180*O$53,C180+D180&lt;L$53,D180*O$52),Setup!I$4=Lookups!D$111,-_xlfn.IFS(C180+D180&gt;=L$62, D180*O$62,C180+D180&gt;=L$61, D180*O$61,C180+D180&gt;=L$60, D180*O$60,C180+D180&lt;L$60,D180*O$59), Setup!I$4=Lookups!D$112,-_xlfn.IFS(C180+D180&gt;=L$69, D180*O$69,C180+D180&gt;=L$68, D180*O$68,C180+D180&gt;=L$67, D180*O$67,C180+D180&lt;L$67,D180*O$66))</f>
        <v>0</v>
      </c>
      <c r="F180" s="18">
        <f t="shared" si="18"/>
        <v>0</v>
      </c>
      <c r="G180" s="1">
        <f t="shared" si="19"/>
        <v>0</v>
      </c>
    </row>
    <row r="181" spans="1:7" x14ac:dyDescent="0.3">
      <c r="A181" s="1">
        <f t="shared" si="16"/>
        <v>0</v>
      </c>
      <c r="C181" s="1">
        <f t="shared" si="20"/>
        <v>0</v>
      </c>
      <c r="D181" s="1">
        <f>IF(Projections!BS81&gt;0,Projections!BS81,0)</f>
        <v>0</v>
      </c>
      <c r="E181" s="1" cm="1">
        <f t="array" ref="E181">_xlfn.IFS(Setup!I$4=Lookups!D$109,-_xlfn.IFS(C181+D181&gt;=L$48, D181*O$48,C181+D181&gt;=L$47, D181*O$47,C181+D181&gt;=L$46,D181*O$46,C181+D181&lt;L$46,D181*O$45),Setup!I$4=Lookups!D$110,-_xlfn.IFS(C181+D181&gt;=L$55, D181*O$55,C181+D181&gt;=L$54, D181*O$54,C181+D181&gt;=L$53, D181*O$53,C181+D181&lt;L$53,D181*O$52),Setup!I$4=Lookups!D$111,-_xlfn.IFS(C181+D181&gt;=L$62, D181*O$62,C181+D181&gt;=L$61, D181*O$61,C181+D181&gt;=L$60, D181*O$60,C181+D181&lt;L$60,D181*O$59), Setup!I$4=Lookups!D$112,-_xlfn.IFS(C181+D181&gt;=L$69, D181*O$69,C181+D181&gt;=L$68, D181*O$68,C181+D181&gt;=L$67, D181*O$67,C181+D181&lt;L$67,D181*O$66))</f>
        <v>0</v>
      </c>
      <c r="F181" s="18">
        <f t="shared" si="18"/>
        <v>0</v>
      </c>
      <c r="G181" s="1">
        <f t="shared" si="19"/>
        <v>0</v>
      </c>
    </row>
    <row r="182" spans="1:7" x14ac:dyDescent="0.3">
      <c r="A182" s="1">
        <f t="shared" si="16"/>
        <v>0</v>
      </c>
      <c r="C182" s="1">
        <f t="shared" si="20"/>
        <v>0</v>
      </c>
      <c r="D182" s="1">
        <f>IF(Projections!BS82&gt;0,Projections!BS82,0)</f>
        <v>0</v>
      </c>
      <c r="E182" s="1" cm="1">
        <f t="array" ref="E182">_xlfn.IFS(Setup!I$4=Lookups!D$109,-_xlfn.IFS(C182+D182&gt;=L$48, D182*O$48,C182+D182&gt;=L$47, D182*O$47,C182+D182&gt;=L$46,D182*O$46,C182+D182&lt;L$46,D182*O$45),Setup!I$4=Lookups!D$110,-_xlfn.IFS(C182+D182&gt;=L$55, D182*O$55,C182+D182&gt;=L$54, D182*O$54,C182+D182&gt;=L$53, D182*O$53,C182+D182&lt;L$53,D182*O$52),Setup!I$4=Lookups!D$111,-_xlfn.IFS(C182+D182&gt;=L$62, D182*O$62,C182+D182&gt;=L$61, D182*O$61,C182+D182&gt;=L$60, D182*O$60,C182+D182&lt;L$60,D182*O$59), Setup!I$4=Lookups!D$112,-_xlfn.IFS(C182+D182&gt;=L$69, D182*O$69,C182+D182&gt;=L$68, D182*O$68,C182+D182&gt;=L$67, D182*O$67,C182+D182&lt;L$67,D182*O$66))</f>
        <v>0</v>
      </c>
      <c r="F182" s="18">
        <f t="shared" si="18"/>
        <v>0</v>
      </c>
      <c r="G182" s="1">
        <f t="shared" si="19"/>
        <v>0</v>
      </c>
    </row>
    <row r="183" spans="1:7" x14ac:dyDescent="0.3">
      <c r="A183" s="1">
        <f t="shared" si="16"/>
        <v>0</v>
      </c>
      <c r="C183" s="1">
        <f t="shared" si="20"/>
        <v>0</v>
      </c>
      <c r="D183" s="1">
        <f>IF(Projections!BS83&gt;0,Projections!BS83,0)</f>
        <v>0</v>
      </c>
      <c r="E183" s="1" cm="1">
        <f t="array" ref="E183">_xlfn.IFS(Setup!I$4=Lookups!D$109,-_xlfn.IFS(C183+D183&gt;=L$48, D183*O$48,C183+D183&gt;=L$47, D183*O$47,C183+D183&gt;=L$46,D183*O$46,C183+D183&lt;L$46,D183*O$45),Setup!I$4=Lookups!D$110,-_xlfn.IFS(C183+D183&gt;=L$55, D183*O$55,C183+D183&gt;=L$54, D183*O$54,C183+D183&gt;=L$53, D183*O$53,C183+D183&lt;L$53,D183*O$52),Setup!I$4=Lookups!D$111,-_xlfn.IFS(C183+D183&gt;=L$62, D183*O$62,C183+D183&gt;=L$61, D183*O$61,C183+D183&gt;=L$60, D183*O$60,C183+D183&lt;L$60,D183*O$59), Setup!I$4=Lookups!D$112,-_xlfn.IFS(C183+D183&gt;=L$69, D183*O$69,C183+D183&gt;=L$68, D183*O$68,C183+D183&gt;=L$67, D183*O$67,C183+D183&lt;L$67,D183*O$66))</f>
        <v>0</v>
      </c>
      <c r="F183" s="18">
        <f t="shared" si="18"/>
        <v>0</v>
      </c>
      <c r="G183" s="1">
        <f t="shared" si="19"/>
        <v>0</v>
      </c>
    </row>
    <row r="184" spans="1:7" x14ac:dyDescent="0.3">
      <c r="A184" s="1">
        <f t="shared" si="16"/>
        <v>0</v>
      </c>
      <c r="C184" s="1">
        <f t="shared" si="20"/>
        <v>0</v>
      </c>
      <c r="D184" s="1">
        <f>IF(Projections!BS84&gt;0,Projections!BS84,0)</f>
        <v>0</v>
      </c>
      <c r="E184" s="1" cm="1">
        <f t="array" ref="E184">_xlfn.IFS(Setup!I$4=Lookups!D$109,-_xlfn.IFS(C184+D184&gt;=L$48, D184*O$48,C184+D184&gt;=L$47, D184*O$47,C184+D184&gt;=L$46,D184*O$46,C184+D184&lt;L$46,D184*O$45),Setup!I$4=Lookups!D$110,-_xlfn.IFS(C184+D184&gt;=L$55, D184*O$55,C184+D184&gt;=L$54, D184*O$54,C184+D184&gt;=L$53, D184*O$53,C184+D184&lt;L$53,D184*O$52),Setup!I$4=Lookups!D$111,-_xlfn.IFS(C184+D184&gt;=L$62, D184*O$62,C184+D184&gt;=L$61, D184*O$61,C184+D184&gt;=L$60, D184*O$60,C184+D184&lt;L$60,D184*O$59), Setup!I$4=Lookups!D$112,-_xlfn.IFS(C184+D184&gt;=L$69, D184*O$69,C184+D184&gt;=L$68, D184*O$68,C184+D184&gt;=L$67, D184*O$67,C184+D184&lt;L$67,D184*O$66))</f>
        <v>0</v>
      </c>
      <c r="F184" s="18">
        <f t="shared" si="18"/>
        <v>0</v>
      </c>
      <c r="G184" s="1">
        <f t="shared" si="19"/>
        <v>0</v>
      </c>
    </row>
    <row r="185" spans="1:7" x14ac:dyDescent="0.3">
      <c r="A185" s="1">
        <f t="shared" si="16"/>
        <v>0</v>
      </c>
      <c r="C185" s="1">
        <f t="shared" si="20"/>
        <v>0</v>
      </c>
      <c r="D185" s="1">
        <f>IF(Projections!BS85&gt;0,Projections!BS85,0)</f>
        <v>0</v>
      </c>
      <c r="E185" s="1" cm="1">
        <f t="array" ref="E185">_xlfn.IFS(Setup!I$4=Lookups!D$109,-_xlfn.IFS(C185+D185&gt;=L$48, D185*O$48,C185+D185&gt;=L$47, D185*O$47,C185+D185&gt;=L$46,D185*O$46,C185+D185&lt;L$46,D185*O$45),Setup!I$4=Lookups!D$110,-_xlfn.IFS(C185+D185&gt;=L$55, D185*O$55,C185+D185&gt;=L$54, D185*O$54,C185+D185&gt;=L$53, D185*O$53,C185+D185&lt;L$53,D185*O$52),Setup!I$4=Lookups!D$111,-_xlfn.IFS(C185+D185&gt;=L$62, D185*O$62,C185+D185&gt;=L$61, D185*O$61,C185+D185&gt;=L$60, D185*O$60,C185+D185&lt;L$60,D185*O$59), Setup!I$4=Lookups!D$112,-_xlfn.IFS(C185+D185&gt;=L$69, D185*O$69,C185+D185&gt;=L$68, D185*O$68,C185+D185&gt;=L$67, D185*O$67,C185+D185&lt;L$67,D185*O$66))</f>
        <v>0</v>
      </c>
      <c r="F185" s="18">
        <f t="shared" si="18"/>
        <v>0</v>
      </c>
      <c r="G185" s="1">
        <f t="shared" si="19"/>
        <v>0</v>
      </c>
    </row>
    <row r="186" spans="1:7" x14ac:dyDescent="0.3">
      <c r="A186" s="1">
        <f t="shared" si="16"/>
        <v>0</v>
      </c>
      <c r="C186" s="1">
        <f t="shared" si="20"/>
        <v>0</v>
      </c>
      <c r="D186" s="1">
        <f>IF(Projections!BS86&gt;0,Projections!BS86,0)</f>
        <v>0</v>
      </c>
      <c r="E186" s="1" cm="1">
        <f t="array" ref="E186">_xlfn.IFS(Setup!I$4=Lookups!D$109,-_xlfn.IFS(C186+D186&gt;=L$48, D186*O$48,C186+D186&gt;=L$47, D186*O$47,C186+D186&gt;=L$46,D186*O$46,C186+D186&lt;L$46,D186*O$45),Setup!I$4=Lookups!D$110,-_xlfn.IFS(C186+D186&gt;=L$55, D186*O$55,C186+D186&gt;=L$54, D186*O$54,C186+D186&gt;=L$53, D186*O$53,C186+D186&lt;L$53,D186*O$52),Setup!I$4=Lookups!D$111,-_xlfn.IFS(C186+D186&gt;=L$62, D186*O$62,C186+D186&gt;=L$61, D186*O$61,C186+D186&gt;=L$60, D186*O$60,C186+D186&lt;L$60,D186*O$59), Setup!I$4=Lookups!D$112,-_xlfn.IFS(C186+D186&gt;=L$69, D186*O$69,C186+D186&gt;=L$68, D186*O$68,C186+D186&gt;=L$67, D186*O$67,C186+D186&lt;L$67,D186*O$66))</f>
        <v>0</v>
      </c>
      <c r="F186" s="18">
        <f t="shared" si="18"/>
        <v>0</v>
      </c>
      <c r="G186" s="1">
        <f t="shared" si="19"/>
        <v>0</v>
      </c>
    </row>
    <row r="187" spans="1:7" x14ac:dyDescent="0.3">
      <c r="A187" s="1">
        <f t="shared" si="16"/>
        <v>0</v>
      </c>
      <c r="C187" s="1">
        <f t="shared" si="20"/>
        <v>0</v>
      </c>
      <c r="D187" s="1">
        <f>IF(Projections!BS87&gt;0,Projections!BS87,0)</f>
        <v>0</v>
      </c>
      <c r="E187" s="1" cm="1">
        <f t="array" ref="E187">_xlfn.IFS(Setup!I$4=Lookups!D$109,-_xlfn.IFS(C187+D187&gt;=L$48, D187*O$48,C187+D187&gt;=L$47, D187*O$47,C187+D187&gt;=L$46,D187*O$46,C187+D187&lt;L$46,D187*O$45),Setup!I$4=Lookups!D$110,-_xlfn.IFS(C187+D187&gt;=L$55, D187*O$55,C187+D187&gt;=L$54, D187*O$54,C187+D187&gt;=L$53, D187*O$53,C187+D187&lt;L$53,D187*O$52),Setup!I$4=Lookups!D$111,-_xlfn.IFS(C187+D187&gt;=L$62, D187*O$62,C187+D187&gt;=L$61, D187*O$61,C187+D187&gt;=L$60, D187*O$60,C187+D187&lt;L$60,D187*O$59), Setup!I$4=Lookups!D$112,-_xlfn.IFS(C187+D187&gt;=L$69, D187*O$69,C187+D187&gt;=L$68, D187*O$68,C187+D187&gt;=L$67, D187*O$67,C187+D187&lt;L$67,D187*O$66))</f>
        <v>0</v>
      </c>
      <c r="F187" s="18">
        <f t="shared" si="18"/>
        <v>0</v>
      </c>
      <c r="G187" s="1">
        <f t="shared" si="19"/>
        <v>0</v>
      </c>
    </row>
    <row r="188" spans="1:7" x14ac:dyDescent="0.3">
      <c r="A188" s="1">
        <f t="shared" si="16"/>
        <v>0</v>
      </c>
      <c r="C188" s="1">
        <f t="shared" si="20"/>
        <v>0</v>
      </c>
      <c r="D188" s="1">
        <f>IF(Projections!BS88&gt;0,Projections!BS88,0)</f>
        <v>0</v>
      </c>
      <c r="E188" s="1" cm="1">
        <f t="array" ref="E188">_xlfn.IFS(Setup!I$4=Lookups!D$109,-_xlfn.IFS(C188+D188&gt;=L$48, D188*O$48,C188+D188&gt;=L$47, D188*O$47,C188+D188&gt;=L$46,D188*O$46,C188+D188&lt;L$46,D188*O$45),Setup!I$4=Lookups!D$110,-_xlfn.IFS(C188+D188&gt;=L$55, D188*O$55,C188+D188&gt;=L$54, D188*O$54,C188+D188&gt;=L$53, D188*O$53,C188+D188&lt;L$53,D188*O$52),Setup!I$4=Lookups!D$111,-_xlfn.IFS(C188+D188&gt;=L$62, D188*O$62,C188+D188&gt;=L$61, D188*O$61,C188+D188&gt;=L$60, D188*O$60,C188+D188&lt;L$60,D188*O$59), Setup!I$4=Lookups!D$112,-_xlfn.IFS(C188+D188&gt;=L$69, D188*O$69,C188+D188&gt;=L$68, D188*O$68,C188+D188&gt;=L$67, D188*O$67,C188+D188&lt;L$67,D188*O$66))</f>
        <v>0</v>
      </c>
      <c r="F188" s="18">
        <f t="shared" si="18"/>
        <v>0</v>
      </c>
      <c r="G188" s="1">
        <f t="shared" si="19"/>
        <v>0</v>
      </c>
    </row>
    <row r="189" spans="1:7" x14ac:dyDescent="0.3">
      <c r="A189" s="1">
        <f t="shared" si="16"/>
        <v>0</v>
      </c>
      <c r="C189" s="1">
        <f t="shared" si="20"/>
        <v>0</v>
      </c>
      <c r="D189" s="1">
        <f>IF(Projections!BS89&gt;0,Projections!BS89,0)</f>
        <v>0</v>
      </c>
      <c r="E189" s="1" cm="1">
        <f t="array" ref="E189">_xlfn.IFS(Setup!I$4=Lookups!D$109,-_xlfn.IFS(C189+D189&gt;=L$48, D189*O$48,C189+D189&gt;=L$47, D189*O$47,C189+D189&gt;=L$46,D189*O$46,C189+D189&lt;L$46,D189*O$45),Setup!I$4=Lookups!D$110,-_xlfn.IFS(C189+D189&gt;=L$55, D189*O$55,C189+D189&gt;=L$54, D189*O$54,C189+D189&gt;=L$53, D189*O$53,C189+D189&lt;L$53,D189*O$52),Setup!I$4=Lookups!D$111,-_xlfn.IFS(C189+D189&gt;=L$62, D189*O$62,C189+D189&gt;=L$61, D189*O$61,C189+D189&gt;=L$60, D189*O$60,C189+D189&lt;L$60,D189*O$59), Setup!I$4=Lookups!D$112,-_xlfn.IFS(C189+D189&gt;=L$69, D189*O$69,C189+D189&gt;=L$68, D189*O$68,C189+D189&gt;=L$67, D189*O$67,C189+D189&lt;L$67,D189*O$66))</f>
        <v>0</v>
      </c>
      <c r="F189" s="18">
        <f t="shared" si="18"/>
        <v>0</v>
      </c>
      <c r="G189" s="1">
        <f t="shared" si="19"/>
        <v>0</v>
      </c>
    </row>
    <row r="190" spans="1:7" x14ac:dyDescent="0.3">
      <c r="A190" s="1">
        <f t="shared" si="16"/>
        <v>0</v>
      </c>
      <c r="C190" s="1">
        <f t="shared" si="20"/>
        <v>0</v>
      </c>
      <c r="D190" s="1">
        <f>IF(Projections!BS90&gt;0,Projections!BS90,0)</f>
        <v>0</v>
      </c>
      <c r="E190" s="1" cm="1">
        <f t="array" ref="E190">_xlfn.IFS(Setup!I$4=Lookups!D$109,-_xlfn.IFS(C190+D190&gt;=L$48, D190*O$48,C190+D190&gt;=L$47, D190*O$47,C190+D190&gt;=L$46,D190*O$46,C190+D190&lt;L$46,D190*O$45),Setup!I$4=Lookups!D$110,-_xlfn.IFS(C190+D190&gt;=L$55, D190*O$55,C190+D190&gt;=L$54, D190*O$54,C190+D190&gt;=L$53, D190*O$53,C190+D190&lt;L$53,D190*O$52),Setup!I$4=Lookups!D$111,-_xlfn.IFS(C190+D190&gt;=L$62, D190*O$62,C190+D190&gt;=L$61, D190*O$61,C190+D190&gt;=L$60, D190*O$60,C190+D190&lt;L$60,D190*O$59), Setup!I$4=Lookups!D$112,-_xlfn.IFS(C190+D190&gt;=L$69, D190*O$69,C190+D190&gt;=L$68, D190*O$68,C190+D190&gt;=L$67, D190*O$67,C190+D190&lt;L$67,D190*O$66))</f>
        <v>0</v>
      </c>
      <c r="F190" s="18">
        <f t="shared" si="18"/>
        <v>0</v>
      </c>
      <c r="G190" s="1">
        <f t="shared" si="19"/>
        <v>0</v>
      </c>
    </row>
    <row r="191" spans="1:7" x14ac:dyDescent="0.3">
      <c r="A191" s="1">
        <f t="shared" si="16"/>
        <v>0</v>
      </c>
      <c r="C191" s="1">
        <f t="shared" si="20"/>
        <v>0</v>
      </c>
      <c r="D191" s="1">
        <f>IF(Projections!BS91&gt;0,Projections!BS91,0)</f>
        <v>0</v>
      </c>
      <c r="E191" s="1" cm="1">
        <f t="array" ref="E191">_xlfn.IFS(Setup!I$4=Lookups!D$109,-_xlfn.IFS(C191+D191&gt;=L$48, D191*O$48,C191+D191&gt;=L$47, D191*O$47,C191+D191&gt;=L$46,D191*O$46,C191+D191&lt;L$46,D191*O$45),Setup!I$4=Lookups!D$110,-_xlfn.IFS(C191+D191&gt;=L$55, D191*O$55,C191+D191&gt;=L$54, D191*O$54,C191+D191&gt;=L$53, D191*O$53,C191+D191&lt;L$53,D191*O$52),Setup!I$4=Lookups!D$111,-_xlfn.IFS(C191+D191&gt;=L$62, D191*O$62,C191+D191&gt;=L$61, D191*O$61,C191+D191&gt;=L$60, D191*O$60,C191+D191&lt;L$60,D191*O$59), Setup!I$4=Lookups!D$112,-_xlfn.IFS(C191+D191&gt;=L$69, D191*O$69,C191+D191&gt;=L$68, D191*O$68,C191+D191&gt;=L$67, D191*O$67,C191+D191&lt;L$67,D191*O$66))</f>
        <v>0</v>
      </c>
      <c r="F191" s="18">
        <f t="shared" si="18"/>
        <v>0</v>
      </c>
      <c r="G191" s="1">
        <f t="shared" si="19"/>
        <v>0</v>
      </c>
    </row>
    <row r="192" spans="1:7" x14ac:dyDescent="0.3">
      <c r="A192" s="1">
        <f t="shared" si="16"/>
        <v>0</v>
      </c>
      <c r="C192" s="1">
        <f t="shared" si="20"/>
        <v>0</v>
      </c>
      <c r="D192" s="1">
        <f>IF(Projections!BS92&gt;0,Projections!BS92,0)</f>
        <v>0</v>
      </c>
      <c r="E192" s="1" cm="1">
        <f t="array" ref="E192">_xlfn.IFS(Setup!I$4=Lookups!D$109,-_xlfn.IFS(C192+D192&gt;=L$48, D192*O$48,C192+D192&gt;=L$47, D192*O$47,C192+D192&gt;=L$46,D192*O$46,C192+D192&lt;L$46,D192*O$45),Setup!I$4=Lookups!D$110,-_xlfn.IFS(C192+D192&gt;=L$55, D192*O$55,C192+D192&gt;=L$54, D192*O$54,C192+D192&gt;=L$53, D192*O$53,C192+D192&lt;L$53,D192*O$52),Setup!I$4=Lookups!D$111,-_xlfn.IFS(C192+D192&gt;=L$62, D192*O$62,C192+D192&gt;=L$61, D192*O$61,C192+D192&gt;=L$60, D192*O$60,C192+D192&lt;L$60,D192*O$59), Setup!I$4=Lookups!D$112,-_xlfn.IFS(C192+D192&gt;=L$69, D192*O$69,C192+D192&gt;=L$68, D192*O$68,C192+D192&gt;=L$67, D192*O$67,C192+D192&lt;L$67,D192*O$66))</f>
        <v>0</v>
      </c>
      <c r="F192" s="18">
        <f t="shared" si="18"/>
        <v>0</v>
      </c>
      <c r="G192" s="1">
        <f t="shared" si="19"/>
        <v>0</v>
      </c>
    </row>
  </sheetData>
  <sheetProtection sheet="1" objects="1" scenarios="1"/>
  <mergeCells count="3">
    <mergeCell ref="A4:G4"/>
    <mergeCell ref="A104:G104"/>
    <mergeCell ref="A1:E3"/>
  </mergeCells>
  <hyperlinks>
    <hyperlink ref="J3" r:id="rId1" xr:uid="{4D0B4D2A-EC96-4522-962D-E70D08BA136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Setup</vt:lpstr>
      <vt:lpstr>Projections</vt:lpstr>
      <vt:lpstr>Lookups</vt:lpstr>
      <vt:lpstr>License</vt:lpstr>
      <vt:lpstr>None</vt:lpstr>
      <vt:lpstr>Kentucky</vt:lpstr>
      <vt:lpstr>Oregon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 Straw's Retirement Game</dc:title>
  <dc:creator>Eric Straw</dc:creator>
  <cp:keywords>Finance</cp:keywords>
  <cp:lastModifiedBy>Eric Straw</cp:lastModifiedBy>
  <dcterms:created xsi:type="dcterms:W3CDTF">2021-08-28T23:29:53Z</dcterms:created>
  <dcterms:modified xsi:type="dcterms:W3CDTF">2022-08-04T23:34:42Z</dcterms:modified>
  <cp:category>Personal financial planning</cp:category>
</cp:coreProperties>
</file>